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filterPrivacy="1" defaultThemeVersion="124226"/>
  <bookViews>
    <workbookView xWindow="-105" yWindow="-105" windowWidth="19425" windowHeight="10425" tabRatio="858" firstSheet="11" activeTab="17"/>
  </bookViews>
  <sheets>
    <sheet name="Sheet2" sheetId="98" state="hidden" r:id="rId1"/>
    <sheet name="Electricity &amp; Water" sheetId="101" state="hidden" r:id="rId2"/>
    <sheet name="Cover Page" sheetId="93" state="hidden" r:id="rId3"/>
    <sheet name="DOC Index" sheetId="117" state="hidden" r:id="rId4"/>
    <sheet name="COMPANY INTRO" sheetId="92" state="hidden" r:id="rId5"/>
    <sheet name="FFP" sheetId="95" state="hidden" r:id="rId6"/>
    <sheet name="1.Project Cost and MOF (3)" sheetId="120" state="hidden" r:id="rId7"/>
    <sheet name="Quotation" sheetId="99" state="hidden" r:id="rId8"/>
    <sheet name="Note for users" sheetId="82" state="hidden" r:id="rId9"/>
    <sheet name="Pre-Cooling" sheetId="111" state="hidden" r:id="rId10"/>
    <sheet name="Cost of Project" sheetId="91" state="hidden" r:id="rId11"/>
    <sheet name="1.Project Cost and MOF (2)" sheetId="94" r:id="rId12"/>
    <sheet name="1.Project Cost and MOF old" sheetId="62" state="hidden" r:id="rId13"/>
    <sheet name="2.Capex Details" sheetId="57" r:id="rId14"/>
    <sheet name="Sheet3" sheetId="122" state="hidden" r:id="rId15"/>
    <sheet name="3.Other Exp &amp; Taxes (2)" sheetId="118" r:id="rId16"/>
    <sheet name="Sheet1 " sheetId="121" state="hidden" r:id="rId17"/>
    <sheet name="4.TL repayment sch" sheetId="23" r:id="rId18"/>
    <sheet name="5.Closing Stock &amp; W Capital" sheetId="61" r:id="rId19"/>
    <sheet name="3.Other Exp &amp; Taxes (3)" sheetId="119" state="hidden" r:id="rId20"/>
    <sheet name="6.Cons Profit &amp; Loss" sheetId="21" r:id="rId21"/>
    <sheet name="7.Balance Sheet" sheetId="69" r:id="rId22"/>
    <sheet name="8.Cash Flow " sheetId="68" r:id="rId23"/>
    <sheet name="9. Financial indiacators" sheetId="29" r:id="rId24"/>
    <sheet name="10.Grain Production details" sheetId="81" r:id="rId25"/>
    <sheet name="Working Unit 1" sheetId="103" state="hidden" r:id="rId26"/>
    <sheet name="12.Facility 1 Dal Mill" sheetId="72" r:id="rId27"/>
    <sheet name="13.Facility 2 - Besan" sheetId="55" r:id="rId28"/>
    <sheet name="Working Unit 2" sheetId="102" state="hidden" r:id="rId29"/>
    <sheet name="Working unit 3" sheetId="104" state="hidden" r:id="rId30"/>
    <sheet name="14. Facility 3 Warehouse" sheetId="42" r:id="rId31"/>
    <sheet name="15. Facility 4 Custom Hiring" sheetId="48" state="hidden" r:id="rId32"/>
    <sheet name="Sheet5" sheetId="106" state="hidden" r:id="rId33"/>
    <sheet name="16.Facility 5 Agri Input" sheetId="53" state="hidden" r:id="rId34"/>
    <sheet name="ANNEXURE-H" sheetId="109" state="hidden" r:id="rId35"/>
    <sheet name="Cold Storage" sheetId="110" state="hidden" r:id="rId36"/>
    <sheet name="Ripening" sheetId="112" state="hidden" r:id="rId37"/>
    <sheet name="11.F&amp;V Crop Production details" sheetId="83" state="hidden" r:id="rId38"/>
    <sheet name="17.Facility 6 Horti Processing " sheetId="84" state="hidden" r:id="rId39"/>
    <sheet name="18. Facility 6 Cold Storage" sheetId="108" state="hidden" r:id="rId40"/>
    <sheet name="Conclusion " sheetId="90" state="hidden" r:id="rId41"/>
    <sheet name="Proposaed Value Chain" sheetId="8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 localSheetId="6">#REF!</definedName>
    <definedName name="\a" localSheetId="15">#REF!</definedName>
    <definedName name="\a" localSheetId="19">#REF!</definedName>
    <definedName name="\a">#REF!</definedName>
    <definedName name="\S" localSheetId="6">'[1]COP '!#REF!</definedName>
    <definedName name="\S" localSheetId="15">'[1]COP '!#REF!</definedName>
    <definedName name="\S" localSheetId="19">'[1]COP '!#REF!</definedName>
    <definedName name="\S">'[1]COP '!#REF!</definedName>
    <definedName name="_655" localSheetId="6">#REF!</definedName>
    <definedName name="_655" localSheetId="15">#REF!</definedName>
    <definedName name="_655" localSheetId="19">#REF!</definedName>
    <definedName name="_655">#REF!</definedName>
    <definedName name="_Fill" hidden="1">#REF!</definedName>
    <definedName name="_Hlk74071481">#REF!</definedName>
    <definedName name="_IRR2">'[2]Balance Sheet'!$G$35:$G$35</definedName>
    <definedName name="_RNG1">'[3]VAL STMTS'!$AG$56:$AL$63</definedName>
    <definedName name="_RNG10">'[3]VAL STMTS'!$AG$136:$AL$139</definedName>
    <definedName name="_RNG11">'[3]VAL STMTS'!$AG$142:$AL$145</definedName>
    <definedName name="_RNG12">'[3]VAL STMTS'!$AG$150:$AL$152</definedName>
    <definedName name="_RNG13">'[3]VAL STMTS'!$AG$155:$AL$160</definedName>
    <definedName name="_RNG14">'[3]VAL STMTS'!$AG$163:$AL$168</definedName>
    <definedName name="_RNG15">'[3]VAL STMTS'!$AG$171:$AL$176</definedName>
    <definedName name="_RNG16">'[3]VAL STMTS'!$AG$179:$AL$181</definedName>
    <definedName name="_RNG17">'[3]VAL STMTS'!$AG$184:$AL$189</definedName>
    <definedName name="_RNG18">'[3]VAL STMTS'!$AG$192:$AL$194</definedName>
    <definedName name="_RNG19">'[3]VAL STMTS'!$AG$197:$AL$202</definedName>
    <definedName name="_RNG2">'[3]VAL STMTS'!$AG$66:$AL$71</definedName>
    <definedName name="_RNG20">'[3]VAL STMTS'!$AG$205:$AL$210</definedName>
    <definedName name="_RNG21">'[3]VAL STMTS'!$AG$213:$AL$218</definedName>
    <definedName name="_RNG22">'[3]VAL STMTS'!$AG$221:$AL$226</definedName>
    <definedName name="_RNG23">'[3]VAL STMTS'!$AG$229:$AL$232</definedName>
    <definedName name="_RNG3">'[3]VAL STMTS'!$AG$74:$AL$79</definedName>
    <definedName name="_RNG4">'[3]VAL STMTS'!$AG$82:$AL$87</definedName>
    <definedName name="_RNG5">'[3]VAL STMTS'!$AG$90:$AL$96</definedName>
    <definedName name="_RNG6">'[3]VAL STMTS'!$AG$99:$AL$107</definedName>
    <definedName name="_RNG7">'[3]VAL STMTS'!$AG$110:$AL$115</definedName>
    <definedName name="_RNG8">'[3]VAL STMTS'!$AG$120:$AL$127</definedName>
    <definedName name="_RNG9">'[3]VAL STMTS'!$AG$130:$AL$133</definedName>
    <definedName name="_S" localSheetId="6">'[1]COP '!#REF!</definedName>
    <definedName name="_S" localSheetId="15">'[1]COP '!#REF!</definedName>
    <definedName name="_S" localSheetId="19">'[1]COP '!#REF!</definedName>
    <definedName name="_S">'[1]COP '!#REF!</definedName>
    <definedName name="_Toc71538100" localSheetId="5">FFP!$B$206</definedName>
    <definedName name="A">#REF!</definedName>
    <definedName name="Admin">'[4]Balance Sheet'!#REF!</definedName>
    <definedName name="ANN" localSheetId="6">#REF!</definedName>
    <definedName name="ANN" localSheetId="15">#REF!</definedName>
    <definedName name="ANN" localSheetId="19">#REF!</definedName>
    <definedName name="ANN">#REF!</definedName>
    <definedName name="ANNEXA">#REF!</definedName>
    <definedName name="ANNEXB">#REF!</definedName>
    <definedName name="ANNEXC">#REF!</definedName>
    <definedName name="ANNEXD">#REF!</definedName>
    <definedName name="ANNEXE">#REF!</definedName>
    <definedName name="ANNEXF">#REF!</definedName>
    <definedName name="ANNEXG">#REF!</definedName>
    <definedName name="ANNEXH">#REF!</definedName>
    <definedName name="ANNEXI">#REF!</definedName>
    <definedName name="ANNEXJ">#REF!</definedName>
    <definedName name="b">'[5]Balance Sheet'!#REF!</definedName>
    <definedName name="bb">'[6]Balance Sheet'!$B$35:$B$35</definedName>
    <definedName name="CA_Turnover">'[3]NEW CRA'!$AA$37:$AC$42</definedName>
    <definedName name="Current_Ratio">'[3]NEW CRA'!$AA$4:$AB$9</definedName>
    <definedName name="DEP" localSheetId="6">#REF!</definedName>
    <definedName name="DEP" localSheetId="15">#REF!</definedName>
    <definedName name="DEP" localSheetId="19">#REF!</definedName>
    <definedName name="DEP">#REF!</definedName>
    <definedName name="FORM1">#REF!</definedName>
    <definedName name="FORM2A">#REF!</definedName>
    <definedName name="FORM2B">#REF!</definedName>
    <definedName name="FORM3A">#REF!</definedName>
    <definedName name="FORM3B">#REF!</definedName>
    <definedName name="FORM3C">#REF!</definedName>
    <definedName name="FORM3D">#REF!</definedName>
    <definedName name="FORM4A">#REF!</definedName>
    <definedName name="FORM4B">#REF!</definedName>
    <definedName name="FORM5">#REF!</definedName>
    <definedName name="FORM6A">#REF!</definedName>
    <definedName name="FORM6B">#REF!</definedName>
    <definedName name="FS">'[3]FINANCIAL PARAMETERS'!$J$33</definedName>
    <definedName name="GLA" localSheetId="6">#REF!</definedName>
    <definedName name="GLA" localSheetId="15">#REF!</definedName>
    <definedName name="GLA" localSheetId="19">#REF!</definedName>
    <definedName name="GLA">#REF!</definedName>
    <definedName name="Gross_Avg._DSCR">'[3]NEW CRA'!$AA$57:$AC$62</definedName>
    <definedName name="GT">'[3]FINANCIAL PARAMETERS'!$J$23</definedName>
    <definedName name="GTVLD">'[3]FINANCIAL PARAMETERS'!$AB$26:$AB$30</definedName>
    <definedName name="interest">#REF!</definedName>
    <definedName name="Negative_scores">'[3]FINANCIAL PARAMETERS'!$AA$77:$AC$82</definedName>
    <definedName name="PAT_Net_Sales">'[3]NEW CRA'!$AA$17:$AB$22</definedName>
    <definedName name="PBDIT_INTT">'[3]NEW CRA'!$AA$23:$AB$28</definedName>
    <definedName name="_xlnm.Print_Area" localSheetId="11">'1.Project Cost and MOF (2)'!$A$1:$G$33</definedName>
    <definedName name="_xlnm.Print_Area" localSheetId="6">'1.Project Cost and MOF (3)'!$A$1:$G$33</definedName>
    <definedName name="_xlnm.Print_Area" localSheetId="12">'1.Project Cost and MOF old'!$A$1:$G$35</definedName>
    <definedName name="_xlnm.Print_Area" localSheetId="24">'10.Grain Production details'!$A$1:$H$114</definedName>
    <definedName name="_xlnm.Print_Area" localSheetId="37">'11.F&amp;V Crop Production details'!$A$1:$H$134</definedName>
    <definedName name="_xlnm.Print_Area" localSheetId="26">'12.Facility 1 Dal Mill'!$A$3:$J$186</definedName>
    <definedName name="_xlnm.Print_Area" localSheetId="27">'13.Facility 2 - Besan'!$A$1:$J$289</definedName>
    <definedName name="_xlnm.Print_Area" localSheetId="30">'14. Facility 3 Warehouse'!$A$1:$J$51</definedName>
    <definedName name="_xlnm.Print_Area" localSheetId="31">'15. Facility 4 Custom Hiring'!$A$1:$M$62</definedName>
    <definedName name="_xlnm.Print_Area" localSheetId="33">'16.Facility 5 Agri Input'!$A$1:$J$280</definedName>
    <definedName name="_xlnm.Print_Area" localSheetId="38">'17.Facility 6 Horti Processing '!$A$1:$J$311</definedName>
    <definedName name="_xlnm.Print_Area" localSheetId="39">'18. Facility 6 Cold Storage'!$A$1:$J$90</definedName>
    <definedName name="_xlnm.Print_Area" localSheetId="13">'2.Capex Details'!$A$1:$H$148</definedName>
    <definedName name="_xlnm.Print_Area" localSheetId="15">'3.Other Exp &amp; Taxes (2)'!$A$1:$V$103</definedName>
    <definedName name="_xlnm.Print_Area" localSheetId="19">'3.Other Exp &amp; Taxes (3)'!$A$1:$V$108</definedName>
    <definedName name="_xlnm.Print_Area" localSheetId="18">'5.Closing Stock &amp; W Capital'!$A$1:$L$59</definedName>
    <definedName name="_xlnm.Print_Area" localSheetId="20">'6.Cons Profit &amp; Loss'!$A$1:$H$61</definedName>
    <definedName name="_xlnm.Print_Area" localSheetId="21">'7.Balance Sheet'!$A$1:$H$51</definedName>
    <definedName name="_xlnm.Print_Area" localSheetId="22">'8.Cash Flow '!$A$1:$J$41</definedName>
    <definedName name="_xlnm.Print_Area" localSheetId="23">'9. Financial indiacators'!$B$1:$J$188</definedName>
    <definedName name="_xlnm.Print_Area" localSheetId="34">'ANNEXURE-H'!$A$1:$E$41</definedName>
    <definedName name="_xlnm.Print_Area" localSheetId="35">'Cold Storage'!$A$1:$B$262</definedName>
    <definedName name="_xlnm.Print_Area" localSheetId="4">'COMPANY INTRO'!$A$1:$I$84</definedName>
    <definedName name="_xlnm.Print_Area" localSheetId="10">'Cost of Project'!$A$1:$D$42</definedName>
    <definedName name="_xlnm.Print_Area" localSheetId="2">'Cover Page'!$A$1:$H$64</definedName>
    <definedName name="_xlnm.Print_Area" localSheetId="3">'DOC Index'!$A$1:$F$34</definedName>
    <definedName name="_xlnm.Print_Area" localSheetId="1">'Electricity &amp; Water'!$A$1:$G$315</definedName>
    <definedName name="_xlnm.Print_Area" localSheetId="5">FFP!$A$1:$Z$2034</definedName>
    <definedName name="_xlnm.Print_Area" localSheetId="7">Quotation!$A$1:$H$2195</definedName>
    <definedName name="_xlnm.Print_Area" localSheetId="28">'Working Unit 2'!$A$1:$O$37</definedName>
    <definedName name="PROJ_D_E">#N/A</definedName>
    <definedName name="Q">#REF!</definedName>
    <definedName name="rate1">#REF!</definedName>
    <definedName name="rate2">#REF!</definedName>
    <definedName name="rate3">#REF!</definedName>
    <definedName name="rate4">#REF!</definedName>
    <definedName name="Rating">'[3]NEW CRA'!$AA$44:$AC$51</definedName>
    <definedName name="Rating_TL">#N/A</definedName>
    <definedName name="REPAYMENT">#N/A</definedName>
    <definedName name="ROCE">'[3]NEW CRA'!$AA$30:$AC$35</definedName>
    <definedName name="TC">'[3]FINANCIAL PARAMETERS'!$J$14</definedName>
    <definedName name="TCSCORE">'[3]FINANCIAL PARAMETERS'!$AA$16:$AC$21</definedName>
    <definedName name="TOL_TNW">'[3]NEW CRA'!$AA$10:$AC$14</definedName>
    <definedName name="X">#REF!</definedName>
    <definedName name="Z">#REF!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32" i="94" l="1"/>
  <c r="B173" i="29"/>
  <c r="B157" i="29"/>
  <c r="B125" i="29"/>
  <c r="B141" i="29" s="1"/>
  <c r="B34" i="29"/>
  <c r="H34" i="21"/>
  <c r="G34" i="21"/>
  <c r="F34" i="21"/>
  <c r="E34" i="21"/>
  <c r="D34" i="21"/>
  <c r="C34" i="21"/>
  <c r="B34" i="21"/>
  <c r="A34" i="21"/>
  <c r="A22" i="21"/>
  <c r="D12" i="55"/>
  <c r="E12" i="55"/>
  <c r="F12" i="55"/>
  <c r="G12" i="55"/>
  <c r="H12" i="55"/>
  <c r="I12" i="55"/>
  <c r="J12" i="55"/>
  <c r="C180" i="55"/>
  <c r="B264" i="55"/>
  <c r="H46" i="57"/>
  <c r="H86" i="57" s="1"/>
  <c r="F38" i="57"/>
  <c r="F35" i="57"/>
  <c r="F34" i="57"/>
  <c r="F31" i="57"/>
  <c r="F29" i="57"/>
  <c r="F28" i="57"/>
  <c r="G28" i="57" s="1"/>
  <c r="F6" i="57"/>
  <c r="F21" i="122"/>
  <c r="G21" i="122" s="1"/>
  <c r="G22" i="122" s="1"/>
  <c r="D15" i="122"/>
  <c r="D14" i="122"/>
  <c r="D13" i="122"/>
  <c r="F12" i="122"/>
  <c r="G12" i="122" s="1"/>
  <c r="F11" i="122"/>
  <c r="G11" i="122" s="1"/>
  <c r="D12" i="122"/>
  <c r="D11" i="122"/>
  <c r="G145" i="57"/>
  <c r="D10" i="94" s="1"/>
  <c r="G56" i="57"/>
  <c r="G55" i="57"/>
  <c r="G54" i="57"/>
  <c r="G53" i="57"/>
  <c r="U1146" i="95" s="1"/>
  <c r="C143" i="72"/>
  <c r="G48" i="57"/>
  <c r="C142" i="72"/>
  <c r="C144" i="72"/>
  <c r="C141" i="72"/>
  <c r="B161" i="72"/>
  <c r="O11" i="61" s="1"/>
  <c r="P11" i="61" s="1"/>
  <c r="Q11" i="61" s="1"/>
  <c r="R11" i="61" s="1"/>
  <c r="E135" i="72"/>
  <c r="E34" i="72"/>
  <c r="F34" i="72"/>
  <c r="E35" i="72"/>
  <c r="D35" i="72"/>
  <c r="G25" i="57"/>
  <c r="G26" i="57"/>
  <c r="G27" i="57"/>
  <c r="U1164" i="95" s="1"/>
  <c r="G29" i="57"/>
  <c r="G30" i="57"/>
  <c r="G32" i="57"/>
  <c r="G33" i="57"/>
  <c r="U1169" i="95" s="1"/>
  <c r="G34" i="57"/>
  <c r="G35" i="57"/>
  <c r="G36" i="57"/>
  <c r="G37" i="57"/>
  <c r="G38" i="57"/>
  <c r="G39" i="57"/>
  <c r="G40" i="57"/>
  <c r="G41" i="57"/>
  <c r="U1176" i="95" s="1"/>
  <c r="G42" i="57"/>
  <c r="G43" i="57"/>
  <c r="G44" i="57"/>
  <c r="D27" i="42"/>
  <c r="D28" i="42"/>
  <c r="D30" i="42"/>
  <c r="D29" i="42"/>
  <c r="D34" i="42"/>
  <c r="B23" i="21"/>
  <c r="D175" i="72"/>
  <c r="D176" i="72"/>
  <c r="D37" i="42"/>
  <c r="D43" i="42"/>
  <c r="B35" i="21"/>
  <c r="E9" i="118"/>
  <c r="E10" i="118"/>
  <c r="E20" i="118" s="1"/>
  <c r="B40" i="21" s="1"/>
  <c r="E14" i="118"/>
  <c r="E8" i="118"/>
  <c r="B10" i="42"/>
  <c r="D21" i="42"/>
  <c r="D23" i="42"/>
  <c r="B11" i="21"/>
  <c r="D174" i="29" s="1"/>
  <c r="H15" i="57"/>
  <c r="D5" i="62" s="1"/>
  <c r="G104" i="57"/>
  <c r="D7" i="62"/>
  <c r="G131" i="57"/>
  <c r="G134" i="57"/>
  <c r="G119" i="57"/>
  <c r="D10" i="62"/>
  <c r="E38" i="61"/>
  <c r="E35" i="61"/>
  <c r="E51" i="61"/>
  <c r="D5" i="94"/>
  <c r="D7" i="94"/>
  <c r="G7" i="57"/>
  <c r="D65" i="81"/>
  <c r="E65" i="81"/>
  <c r="F65" i="81"/>
  <c r="G65" i="81"/>
  <c r="H65" i="81"/>
  <c r="C65" i="81"/>
  <c r="D23" i="68"/>
  <c r="C23" i="68"/>
  <c r="I23" i="68"/>
  <c r="H23" i="68"/>
  <c r="G23" i="68"/>
  <c r="F23" i="68"/>
  <c r="E23" i="68"/>
  <c r="J32" i="55"/>
  <c r="J31" i="53"/>
  <c r="J84" i="53"/>
  <c r="J219" i="53"/>
  <c r="J251" i="84"/>
  <c r="K18" i="61" s="1"/>
  <c r="J287" i="84" s="1"/>
  <c r="J258" i="84"/>
  <c r="J259" i="84"/>
  <c r="J264" i="84"/>
  <c r="J151" i="53"/>
  <c r="J152" i="53"/>
  <c r="J154" i="53"/>
  <c r="J155" i="53"/>
  <c r="J156" i="53"/>
  <c r="J157" i="53"/>
  <c r="J158" i="53"/>
  <c r="J159" i="53"/>
  <c r="J160" i="53"/>
  <c r="J161" i="53"/>
  <c r="J162" i="53"/>
  <c r="J163" i="53"/>
  <c r="J164" i="53"/>
  <c r="J165" i="53"/>
  <c r="J166" i="53"/>
  <c r="J167" i="53"/>
  <c r="J168" i="53"/>
  <c r="J169" i="53"/>
  <c r="J170" i="53"/>
  <c r="J171" i="53"/>
  <c r="J172" i="53"/>
  <c r="J173" i="53"/>
  <c r="J174" i="53"/>
  <c r="J175" i="53"/>
  <c r="J176" i="53"/>
  <c r="J177" i="53"/>
  <c r="J178" i="53"/>
  <c r="J195" i="55"/>
  <c r="J196" i="55"/>
  <c r="J197" i="55"/>
  <c r="J198" i="55"/>
  <c r="J199" i="55"/>
  <c r="J200" i="55"/>
  <c r="J201" i="55"/>
  <c r="J202" i="55"/>
  <c r="J203" i="55"/>
  <c r="J204" i="55"/>
  <c r="J205" i="55"/>
  <c r="J206" i="55"/>
  <c r="J207" i="55"/>
  <c r="J208" i="55"/>
  <c r="J209" i="55"/>
  <c r="J210" i="55"/>
  <c r="J211" i="55"/>
  <c r="J212" i="55"/>
  <c r="J213" i="55"/>
  <c r="J214" i="55"/>
  <c r="J215" i="55"/>
  <c r="J216" i="55"/>
  <c r="J217" i="55"/>
  <c r="J218" i="55"/>
  <c r="J219" i="55"/>
  <c r="J203" i="84"/>
  <c r="J204" i="84"/>
  <c r="J205" i="84"/>
  <c r="J206" i="84"/>
  <c r="J207" i="84"/>
  <c r="J208" i="84"/>
  <c r="J209" i="84"/>
  <c r="J210" i="84"/>
  <c r="J211" i="84"/>
  <c r="J212" i="84"/>
  <c r="J213" i="84"/>
  <c r="J214" i="84"/>
  <c r="J215" i="84"/>
  <c r="J216" i="84"/>
  <c r="J217" i="84"/>
  <c r="J218" i="84"/>
  <c r="J219" i="84"/>
  <c r="J220" i="84"/>
  <c r="J221" i="84"/>
  <c r="J222" i="84"/>
  <c r="J223" i="84"/>
  <c r="J224" i="84"/>
  <c r="J225" i="84"/>
  <c r="J226" i="84"/>
  <c r="J239" i="84" s="1"/>
  <c r="J227" i="84"/>
  <c r="J228" i="84"/>
  <c r="J229" i="84"/>
  <c r="K35" i="61"/>
  <c r="H10" i="42"/>
  <c r="J21" i="42"/>
  <c r="J23" i="42"/>
  <c r="K38" i="61"/>
  <c r="L49" i="48"/>
  <c r="K48" i="61"/>
  <c r="I251" i="84"/>
  <c r="I258" i="84"/>
  <c r="I259" i="84"/>
  <c r="I264" i="84"/>
  <c r="J18" i="61" s="1"/>
  <c r="J27" i="42"/>
  <c r="J28" i="42"/>
  <c r="J30" i="42"/>
  <c r="J29" i="42"/>
  <c r="J34" i="42"/>
  <c r="K51" i="61"/>
  <c r="I151" i="53"/>
  <c r="I152" i="53"/>
  <c r="I154" i="53"/>
  <c r="I155" i="53"/>
  <c r="I156" i="53"/>
  <c r="I157" i="53"/>
  <c r="I158" i="53"/>
  <c r="I159" i="53"/>
  <c r="I160" i="53"/>
  <c r="I161" i="53"/>
  <c r="I162" i="53"/>
  <c r="I163" i="53"/>
  <c r="I164" i="53"/>
  <c r="I165" i="53"/>
  <c r="I166" i="53"/>
  <c r="I167" i="53"/>
  <c r="I168" i="53"/>
  <c r="I169" i="53"/>
  <c r="I170" i="53"/>
  <c r="I171" i="53"/>
  <c r="I172" i="53"/>
  <c r="I173" i="53"/>
  <c r="I174" i="53"/>
  <c r="I175" i="53"/>
  <c r="I176" i="53"/>
  <c r="I177" i="53"/>
  <c r="I178" i="53"/>
  <c r="I195" i="55"/>
  <c r="I196" i="55"/>
  <c r="I197" i="55"/>
  <c r="I198" i="55"/>
  <c r="I199" i="55"/>
  <c r="I200" i="55"/>
  <c r="I201" i="55"/>
  <c r="I202" i="55"/>
  <c r="I203" i="55"/>
  <c r="I204" i="55"/>
  <c r="I205" i="55"/>
  <c r="I206" i="55"/>
  <c r="I207" i="55"/>
  <c r="I208" i="55"/>
  <c r="I209" i="55"/>
  <c r="I210" i="55"/>
  <c r="I211" i="55"/>
  <c r="I212" i="55"/>
  <c r="I213" i="55"/>
  <c r="I214" i="55"/>
  <c r="I215" i="55"/>
  <c r="I216" i="55"/>
  <c r="I217" i="55"/>
  <c r="I218" i="55"/>
  <c r="I219" i="55"/>
  <c r="I203" i="84"/>
  <c r="I204" i="84"/>
  <c r="I205" i="84"/>
  <c r="I206" i="84"/>
  <c r="I207" i="84"/>
  <c r="I208" i="84"/>
  <c r="I209" i="84"/>
  <c r="I210" i="84"/>
  <c r="I211" i="84"/>
  <c r="I212" i="84"/>
  <c r="I213" i="84"/>
  <c r="I214" i="84"/>
  <c r="I215" i="84"/>
  <c r="I216" i="84"/>
  <c r="I217" i="84"/>
  <c r="I218" i="84"/>
  <c r="I219" i="84"/>
  <c r="I220" i="84"/>
  <c r="I221" i="84"/>
  <c r="I222" i="84"/>
  <c r="I239" i="84" s="1"/>
  <c r="I223" i="84"/>
  <c r="I224" i="84"/>
  <c r="I225" i="84"/>
  <c r="I226" i="84"/>
  <c r="I227" i="84"/>
  <c r="I228" i="84"/>
  <c r="I229" i="84"/>
  <c r="J35" i="61"/>
  <c r="G10" i="42"/>
  <c r="I21" i="42"/>
  <c r="I23" i="42"/>
  <c r="J38" i="61"/>
  <c r="K49" i="48"/>
  <c r="J48" i="61"/>
  <c r="H251" i="84"/>
  <c r="H258" i="84"/>
  <c r="H259" i="84"/>
  <c r="H264" i="84"/>
  <c r="I18" i="61" s="1"/>
  <c r="I27" i="42"/>
  <c r="I28" i="42"/>
  <c r="I30" i="42"/>
  <c r="I29" i="42"/>
  <c r="I34" i="42"/>
  <c r="J51" i="61"/>
  <c r="H11" i="21"/>
  <c r="H151" i="53"/>
  <c r="H152" i="53"/>
  <c r="H154" i="53"/>
  <c r="H155" i="53"/>
  <c r="H156" i="53"/>
  <c r="H157" i="53"/>
  <c r="H158" i="53"/>
  <c r="H159" i="53"/>
  <c r="H160" i="53"/>
  <c r="H161" i="53"/>
  <c r="H162" i="53"/>
  <c r="H163" i="53"/>
  <c r="H164" i="53"/>
  <c r="H165" i="53"/>
  <c r="H166" i="53"/>
  <c r="H167" i="53"/>
  <c r="H168" i="53"/>
  <c r="H169" i="53"/>
  <c r="H170" i="53"/>
  <c r="H171" i="53"/>
  <c r="H172" i="53"/>
  <c r="H173" i="53"/>
  <c r="H174" i="53"/>
  <c r="H175" i="53"/>
  <c r="H176" i="53"/>
  <c r="H177" i="53"/>
  <c r="H178" i="53"/>
  <c r="H195" i="55"/>
  <c r="H196" i="55"/>
  <c r="H197" i="55"/>
  <c r="H198" i="55"/>
  <c r="H199" i="55"/>
  <c r="H200" i="55"/>
  <c r="H201" i="55"/>
  <c r="H202" i="55"/>
  <c r="H203" i="55"/>
  <c r="H204" i="55"/>
  <c r="H205" i="55"/>
  <c r="H206" i="55"/>
  <c r="H207" i="55"/>
  <c r="H208" i="55"/>
  <c r="H209" i="55"/>
  <c r="H210" i="55"/>
  <c r="H211" i="55"/>
  <c r="H212" i="55"/>
  <c r="H213" i="55"/>
  <c r="H214" i="55"/>
  <c r="H215" i="55"/>
  <c r="H216" i="55"/>
  <c r="H217" i="55"/>
  <c r="H218" i="55"/>
  <c r="H219" i="55"/>
  <c r="H203" i="84"/>
  <c r="H204" i="84"/>
  <c r="H239" i="84" s="1"/>
  <c r="H205" i="84"/>
  <c r="H206" i="84"/>
  <c r="H207" i="84"/>
  <c r="H208" i="84"/>
  <c r="H209" i="84"/>
  <c r="H210" i="84"/>
  <c r="H211" i="84"/>
  <c r="H212" i="84"/>
  <c r="H213" i="84"/>
  <c r="H214" i="84"/>
  <c r="H215" i="84"/>
  <c r="H216" i="84"/>
  <c r="H217" i="84"/>
  <c r="H218" i="84"/>
  <c r="H219" i="84"/>
  <c r="H220" i="84"/>
  <c r="H221" i="84"/>
  <c r="H222" i="84"/>
  <c r="H223" i="84"/>
  <c r="H224" i="84"/>
  <c r="H225" i="84"/>
  <c r="H226" i="84"/>
  <c r="H227" i="84"/>
  <c r="H228" i="84"/>
  <c r="H229" i="84"/>
  <c r="I35" i="61"/>
  <c r="F10" i="42"/>
  <c r="H21" i="42"/>
  <c r="H23" i="42"/>
  <c r="I38" i="61"/>
  <c r="J49" i="48"/>
  <c r="I48" i="61"/>
  <c r="G251" i="84"/>
  <c r="G258" i="84"/>
  <c r="H18" i="61" s="1"/>
  <c r="G259" i="84"/>
  <c r="G264" i="84"/>
  <c r="H27" i="42"/>
  <c r="H28" i="42"/>
  <c r="H30" i="42"/>
  <c r="H29" i="42"/>
  <c r="H34" i="42"/>
  <c r="I51" i="61"/>
  <c r="G11" i="21"/>
  <c r="I126" i="29" s="1"/>
  <c r="G151" i="53"/>
  <c r="G152" i="53"/>
  <c r="G154" i="53"/>
  <c r="G155" i="53"/>
  <c r="G156" i="53"/>
  <c r="G157" i="53"/>
  <c r="G158" i="53"/>
  <c r="G159" i="53"/>
  <c r="G160" i="53"/>
  <c r="G161" i="53"/>
  <c r="G162" i="53"/>
  <c r="G163" i="53"/>
  <c r="G164" i="53"/>
  <c r="G165" i="53"/>
  <c r="G166" i="53"/>
  <c r="G167" i="53"/>
  <c r="G168" i="53"/>
  <c r="G169" i="53"/>
  <c r="G170" i="53"/>
  <c r="G171" i="53"/>
  <c r="G172" i="53"/>
  <c r="G173" i="53"/>
  <c r="G174" i="53"/>
  <c r="G175" i="53"/>
  <c r="G176" i="53"/>
  <c r="G177" i="53"/>
  <c r="G178" i="53"/>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03" i="84"/>
  <c r="G204" i="84"/>
  <c r="G205" i="84"/>
  <c r="G206" i="84"/>
  <c r="G207" i="84"/>
  <c r="G208" i="84"/>
  <c r="G209" i="84"/>
  <c r="G210" i="84"/>
  <c r="G211" i="84"/>
  <c r="G212" i="84"/>
  <c r="G213" i="84"/>
  <c r="G214" i="84"/>
  <c r="G215" i="84"/>
  <c r="G216" i="84"/>
  <c r="G217" i="84"/>
  <c r="G218" i="84"/>
  <c r="G219" i="84"/>
  <c r="G220" i="84"/>
  <c r="G221" i="84"/>
  <c r="G222" i="84"/>
  <c r="G223" i="84"/>
  <c r="G224" i="84"/>
  <c r="G225" i="84"/>
  <c r="G226" i="84"/>
  <c r="G239" i="84" s="1"/>
  <c r="G227" i="84"/>
  <c r="G228" i="84"/>
  <c r="G229" i="84"/>
  <c r="H35" i="61"/>
  <c r="E10" i="42"/>
  <c r="G21" i="42"/>
  <c r="G23" i="42"/>
  <c r="H38" i="61"/>
  <c r="I49" i="48"/>
  <c r="H48" i="61"/>
  <c r="F251" i="84"/>
  <c r="F258" i="84"/>
  <c r="F259" i="84"/>
  <c r="F264" i="84"/>
  <c r="G18" i="61" s="1"/>
  <c r="G27" i="42"/>
  <c r="G28" i="42"/>
  <c r="G30" i="42"/>
  <c r="G29" i="42"/>
  <c r="G34" i="42"/>
  <c r="H51" i="61"/>
  <c r="F11" i="21"/>
  <c r="F151" i="53"/>
  <c r="F152" i="53"/>
  <c r="F154" i="53"/>
  <c r="F155" i="53"/>
  <c r="F156" i="53"/>
  <c r="F157" i="53"/>
  <c r="F158" i="53"/>
  <c r="F159" i="53"/>
  <c r="F160" i="53"/>
  <c r="F161" i="53"/>
  <c r="F162" i="53"/>
  <c r="F163" i="53"/>
  <c r="F164" i="53"/>
  <c r="F165" i="53"/>
  <c r="F166" i="53"/>
  <c r="F167" i="53"/>
  <c r="F168" i="53"/>
  <c r="F169" i="53"/>
  <c r="F170" i="53"/>
  <c r="F171" i="53"/>
  <c r="F172" i="53"/>
  <c r="F173" i="53"/>
  <c r="F174" i="53"/>
  <c r="F175" i="53"/>
  <c r="F176" i="53"/>
  <c r="F177" i="53"/>
  <c r="F178" i="53"/>
  <c r="F195" i="55"/>
  <c r="F196" i="55"/>
  <c r="F197" i="55"/>
  <c r="F198" i="55"/>
  <c r="F199" i="55"/>
  <c r="F200" i="55"/>
  <c r="F201" i="55"/>
  <c r="F202" i="55"/>
  <c r="F203" i="55"/>
  <c r="F204" i="55"/>
  <c r="F205" i="55"/>
  <c r="F206" i="55"/>
  <c r="F207" i="55"/>
  <c r="F208" i="55"/>
  <c r="F209" i="55"/>
  <c r="F210" i="55"/>
  <c r="F211" i="55"/>
  <c r="F212" i="55"/>
  <c r="F213" i="55"/>
  <c r="F214" i="55"/>
  <c r="F215" i="55"/>
  <c r="F216" i="55"/>
  <c r="F217" i="55"/>
  <c r="F218" i="55"/>
  <c r="F219" i="55"/>
  <c r="F203" i="84"/>
  <c r="F204" i="84"/>
  <c r="F239" i="84" s="1"/>
  <c r="F205" i="84"/>
  <c r="F206" i="84"/>
  <c r="F207" i="84"/>
  <c r="F208" i="84"/>
  <c r="F209" i="84"/>
  <c r="F210" i="84"/>
  <c r="F211" i="84"/>
  <c r="F212" i="84"/>
  <c r="F213" i="84"/>
  <c r="F214" i="84"/>
  <c r="F215" i="84"/>
  <c r="F216" i="84"/>
  <c r="F217" i="84"/>
  <c r="F218" i="84"/>
  <c r="F219" i="84"/>
  <c r="F220" i="84"/>
  <c r="F221" i="84"/>
  <c r="F222" i="84"/>
  <c r="F223" i="84"/>
  <c r="F224" i="84"/>
  <c r="F225" i="84"/>
  <c r="F226" i="84"/>
  <c r="F227" i="84"/>
  <c r="F228" i="84"/>
  <c r="F229" i="84"/>
  <c r="G35" i="61"/>
  <c r="D10" i="42"/>
  <c r="F21" i="42"/>
  <c r="F23" i="42"/>
  <c r="G38" i="61"/>
  <c r="H49" i="48"/>
  <c r="G48" i="61"/>
  <c r="E251" i="84"/>
  <c r="E258" i="84"/>
  <c r="F18" i="61" s="1"/>
  <c r="E259" i="84"/>
  <c r="E264" i="84"/>
  <c r="F27" i="42"/>
  <c r="F28" i="42"/>
  <c r="F30" i="42"/>
  <c r="F29" i="42"/>
  <c r="F34" i="42"/>
  <c r="G51" i="61"/>
  <c r="E11" i="21"/>
  <c r="G35" i="29" s="1"/>
  <c r="G49" i="48"/>
  <c r="F48" i="61"/>
  <c r="D251" i="84"/>
  <c r="D258" i="84"/>
  <c r="E18" i="61" s="1"/>
  <c r="D259" i="84"/>
  <c r="D264" i="84"/>
  <c r="E27" i="42"/>
  <c r="E28" i="42"/>
  <c r="E30" i="42"/>
  <c r="E29" i="42"/>
  <c r="E34" i="42"/>
  <c r="F51" i="61"/>
  <c r="E151" i="53"/>
  <c r="E152" i="53"/>
  <c r="E154" i="53"/>
  <c r="E155" i="53"/>
  <c r="E156" i="53"/>
  <c r="E157" i="53"/>
  <c r="E158" i="53"/>
  <c r="E159" i="53"/>
  <c r="E160" i="53"/>
  <c r="E161" i="53"/>
  <c r="E162" i="53"/>
  <c r="E163" i="53"/>
  <c r="E164" i="53"/>
  <c r="E165" i="53"/>
  <c r="E166" i="53"/>
  <c r="E167" i="53"/>
  <c r="E168" i="53"/>
  <c r="E169" i="53"/>
  <c r="E170" i="53"/>
  <c r="E171" i="53"/>
  <c r="E172" i="53"/>
  <c r="E173" i="53"/>
  <c r="E174" i="53"/>
  <c r="E175" i="53"/>
  <c r="E176" i="53"/>
  <c r="E177" i="53"/>
  <c r="E178" i="53"/>
  <c r="E195" i="55"/>
  <c r="E196" i="55"/>
  <c r="E197" i="55"/>
  <c r="E198" i="55"/>
  <c r="E199" i="55"/>
  <c r="E200" i="55"/>
  <c r="E201" i="55"/>
  <c r="E202" i="55"/>
  <c r="E203" i="55"/>
  <c r="E204" i="55"/>
  <c r="E205" i="55"/>
  <c r="E206" i="55"/>
  <c r="E207" i="55"/>
  <c r="E208" i="55"/>
  <c r="E209" i="55"/>
  <c r="E210" i="55"/>
  <c r="E211" i="55"/>
  <c r="E212" i="55"/>
  <c r="E213" i="55"/>
  <c r="E214" i="55"/>
  <c r="E215" i="55"/>
  <c r="E216" i="55"/>
  <c r="E217" i="55"/>
  <c r="E218" i="55"/>
  <c r="E219" i="55"/>
  <c r="E203" i="84"/>
  <c r="E204" i="84"/>
  <c r="E239" i="84" s="1"/>
  <c r="E205" i="84"/>
  <c r="E206" i="84"/>
  <c r="E207" i="84"/>
  <c r="E208" i="84"/>
  <c r="E209" i="84"/>
  <c r="E210" i="84"/>
  <c r="E211" i="84"/>
  <c r="E212" i="84"/>
  <c r="E213" i="84"/>
  <c r="E214" i="84"/>
  <c r="E215" i="84"/>
  <c r="E216" i="84"/>
  <c r="E217" i="84"/>
  <c r="E218" i="84"/>
  <c r="E219" i="84"/>
  <c r="E220" i="84"/>
  <c r="E221" i="84"/>
  <c r="E222" i="84"/>
  <c r="E223" i="84"/>
  <c r="E224" i="84"/>
  <c r="E225" i="84"/>
  <c r="E226" i="84"/>
  <c r="E227" i="84"/>
  <c r="E228" i="84"/>
  <c r="E229" i="84"/>
  <c r="F35" i="61"/>
  <c r="C10" i="42"/>
  <c r="E21" i="42"/>
  <c r="E23" i="42"/>
  <c r="F38" i="61"/>
  <c r="D11" i="21"/>
  <c r="D151" i="53"/>
  <c r="D152" i="53"/>
  <c r="D154" i="53"/>
  <c r="D155" i="53"/>
  <c r="D156" i="53"/>
  <c r="D157" i="53"/>
  <c r="D158" i="53"/>
  <c r="D159" i="53"/>
  <c r="D160" i="53"/>
  <c r="D161" i="53"/>
  <c r="D162" i="53"/>
  <c r="D163" i="53"/>
  <c r="D164" i="53"/>
  <c r="D165" i="53"/>
  <c r="D166" i="53"/>
  <c r="D167" i="53"/>
  <c r="D168" i="53"/>
  <c r="D169" i="53"/>
  <c r="D170" i="53"/>
  <c r="D171" i="53"/>
  <c r="D172" i="53"/>
  <c r="D173" i="53"/>
  <c r="D174" i="53"/>
  <c r="D175" i="53"/>
  <c r="D176" i="53"/>
  <c r="D177" i="53"/>
  <c r="D178" i="53"/>
  <c r="D195" i="55"/>
  <c r="D196" i="55"/>
  <c r="D197" i="55"/>
  <c r="D198" i="55"/>
  <c r="D199" i="55"/>
  <c r="D200" i="55"/>
  <c r="D201" i="55"/>
  <c r="D202" i="55"/>
  <c r="D203" i="55"/>
  <c r="D204" i="55"/>
  <c r="D205" i="55"/>
  <c r="D206" i="55"/>
  <c r="D207" i="55"/>
  <c r="D208" i="55"/>
  <c r="D209" i="55"/>
  <c r="D210" i="55"/>
  <c r="D211" i="55"/>
  <c r="D212" i="55"/>
  <c r="D213" i="55"/>
  <c r="D214" i="55"/>
  <c r="D215" i="55"/>
  <c r="D216" i="55"/>
  <c r="D217" i="55"/>
  <c r="D218" i="55"/>
  <c r="D219" i="55"/>
  <c r="D203" i="84"/>
  <c r="D239" i="84" s="1"/>
  <c r="D204" i="84"/>
  <c r="D205" i="84"/>
  <c r="D206" i="84"/>
  <c r="D207" i="84"/>
  <c r="D208" i="84"/>
  <c r="D209" i="84"/>
  <c r="D210" i="84"/>
  <c r="D211" i="84"/>
  <c r="D212" i="84"/>
  <c r="D213" i="84"/>
  <c r="D214" i="84"/>
  <c r="D215" i="84"/>
  <c r="D216" i="84"/>
  <c r="D217" i="84"/>
  <c r="D218" i="84"/>
  <c r="D219" i="84"/>
  <c r="D220" i="84"/>
  <c r="D221" i="84"/>
  <c r="D222" i="84"/>
  <c r="D223" i="84"/>
  <c r="D224" i="84"/>
  <c r="D225" i="84"/>
  <c r="D226" i="84"/>
  <c r="D227" i="84"/>
  <c r="D228" i="84"/>
  <c r="D229" i="84"/>
  <c r="F49" i="48"/>
  <c r="E48" i="61"/>
  <c r="C11" i="21"/>
  <c r="E174" i="29" s="1"/>
  <c r="F8" i="48"/>
  <c r="H8" i="48"/>
  <c r="D28" i="48"/>
  <c r="F28" i="48"/>
  <c r="F39" i="48"/>
  <c r="B12" i="21"/>
  <c r="J8" i="48"/>
  <c r="D43" i="48"/>
  <c r="F43" i="48"/>
  <c r="M8" i="48"/>
  <c r="D44" i="48"/>
  <c r="F44" i="48"/>
  <c r="B24" i="21"/>
  <c r="F52" i="48"/>
  <c r="F56" i="48"/>
  <c r="B36" i="21"/>
  <c r="E12" i="118"/>
  <c r="F5" i="94"/>
  <c r="H48" i="21"/>
  <c r="G48" i="21"/>
  <c r="D83" i="118"/>
  <c r="D84" i="118" s="1"/>
  <c r="C48" i="21" s="1"/>
  <c r="E62" i="29" s="1"/>
  <c r="K10" i="118"/>
  <c r="K20" i="118" s="1"/>
  <c r="H40" i="21" s="1"/>
  <c r="K14" i="118"/>
  <c r="K12" i="118"/>
  <c r="K9" i="118"/>
  <c r="K8" i="118"/>
  <c r="J10" i="118"/>
  <c r="J14" i="118"/>
  <c r="J12" i="118"/>
  <c r="J9" i="118"/>
  <c r="J8" i="118"/>
  <c r="J20" i="118"/>
  <c r="G40" i="21" s="1"/>
  <c r="I10" i="118"/>
  <c r="I20" i="118" s="1"/>
  <c r="F40" i="21" s="1"/>
  <c r="I14" i="118"/>
  <c r="I12" i="118"/>
  <c r="I9" i="118"/>
  <c r="I8" i="118"/>
  <c r="H10" i="118"/>
  <c r="H20" i="118" s="1"/>
  <c r="E40" i="21" s="1"/>
  <c r="H14" i="118"/>
  <c r="H12" i="118"/>
  <c r="H9" i="118"/>
  <c r="H8" i="118"/>
  <c r="G10" i="118"/>
  <c r="G20" i="118" s="1"/>
  <c r="D40" i="21" s="1"/>
  <c r="G14" i="118"/>
  <c r="G12" i="118"/>
  <c r="G9" i="118"/>
  <c r="G8" i="118"/>
  <c r="F10" i="118"/>
  <c r="F14" i="118"/>
  <c r="F12" i="118"/>
  <c r="F9" i="118"/>
  <c r="F8" i="118"/>
  <c r="F20" i="118"/>
  <c r="C40" i="21" s="1"/>
  <c r="B8" i="48"/>
  <c r="D15" i="121"/>
  <c r="E15" i="121"/>
  <c r="D16" i="121"/>
  <c r="E16" i="121"/>
  <c r="D17" i="121"/>
  <c r="E17" i="121"/>
  <c r="E18" i="121" s="1"/>
  <c r="D6" i="121"/>
  <c r="E6" i="121" s="1"/>
  <c r="D8" i="121"/>
  <c r="E8" i="121" s="1"/>
  <c r="D9" i="121"/>
  <c r="E9" i="121" s="1"/>
  <c r="D3" i="121"/>
  <c r="E3" i="121" s="1"/>
  <c r="E4" i="121" s="1"/>
  <c r="B3" i="121"/>
  <c r="B9" i="121"/>
  <c r="B8" i="121"/>
  <c r="B7" i="121"/>
  <c r="A236" i="55"/>
  <c r="B35" i="69"/>
  <c r="D292" i="84"/>
  <c r="E63" i="55"/>
  <c r="F63" i="55" s="1"/>
  <c r="B14" i="48"/>
  <c r="B34" i="48" s="1"/>
  <c r="B13" i="48"/>
  <c r="B12" i="48"/>
  <c r="B11" i="48"/>
  <c r="B10" i="48"/>
  <c r="B30" i="48" s="1"/>
  <c r="B9" i="48"/>
  <c r="B51" i="81"/>
  <c r="E5" i="81"/>
  <c r="I127" i="57"/>
  <c r="G6" i="57"/>
  <c r="L30" i="120"/>
  <c r="L32" i="120"/>
  <c r="I24" i="120"/>
  <c r="I25" i="120"/>
  <c r="J21" i="120"/>
  <c r="J22" i="120"/>
  <c r="I17" i="120"/>
  <c r="M15" i="120"/>
  <c r="M17" i="120"/>
  <c r="H15" i="120"/>
  <c r="C10" i="120"/>
  <c r="C9" i="120"/>
  <c r="I8" i="120"/>
  <c r="C8" i="120"/>
  <c r="I7" i="120"/>
  <c r="C7" i="120"/>
  <c r="H6" i="120"/>
  <c r="C6" i="120"/>
  <c r="H5" i="120"/>
  <c r="C5" i="120"/>
  <c r="K4" i="120"/>
  <c r="I2" i="120"/>
  <c r="H12" i="120"/>
  <c r="H13" i="120"/>
  <c r="I10" i="120"/>
  <c r="I12" i="120"/>
  <c r="I87" i="119"/>
  <c r="H87" i="119"/>
  <c r="L64" i="119"/>
  <c r="A64" i="119"/>
  <c r="L63" i="119"/>
  <c r="A63" i="119"/>
  <c r="L62" i="119"/>
  <c r="A62" i="119"/>
  <c r="L61" i="119"/>
  <c r="A61" i="119"/>
  <c r="H22" i="119"/>
  <c r="E22" i="119"/>
  <c r="H21" i="119"/>
  <c r="E21" i="119"/>
  <c r="H20" i="119"/>
  <c r="E20" i="119"/>
  <c r="H19" i="119"/>
  <c r="E19" i="119"/>
  <c r="H18" i="119"/>
  <c r="E18" i="119"/>
  <c r="H17" i="119"/>
  <c r="E17" i="119"/>
  <c r="H16" i="119"/>
  <c r="E16" i="119"/>
  <c r="H15" i="119"/>
  <c r="E15" i="119"/>
  <c r="H14" i="119"/>
  <c r="E14" i="119"/>
  <c r="H13" i="119"/>
  <c r="E13" i="119"/>
  <c r="H12" i="119"/>
  <c r="E12" i="119"/>
  <c r="H11" i="119"/>
  <c r="E11" i="119"/>
  <c r="H10" i="119"/>
  <c r="E10" i="119"/>
  <c r="H9" i="119"/>
  <c r="E9" i="119"/>
  <c r="H8" i="119"/>
  <c r="E8" i="119"/>
  <c r="I4" i="119"/>
  <c r="I22" i="119"/>
  <c r="F4" i="119"/>
  <c r="F19" i="119"/>
  <c r="I84" i="118"/>
  <c r="H84" i="118"/>
  <c r="L61" i="118"/>
  <c r="A61" i="118"/>
  <c r="L60" i="118"/>
  <c r="A60" i="118"/>
  <c r="L59" i="118"/>
  <c r="A59" i="118"/>
  <c r="L58" i="118"/>
  <c r="A58" i="118"/>
  <c r="H19" i="118"/>
  <c r="E19" i="118"/>
  <c r="H18" i="118"/>
  <c r="E18" i="118"/>
  <c r="H17" i="118"/>
  <c r="E17" i="118"/>
  <c r="H16" i="118"/>
  <c r="E16" i="118"/>
  <c r="H15" i="118"/>
  <c r="E15" i="118"/>
  <c r="H13" i="118"/>
  <c r="E13" i="118"/>
  <c r="H11" i="118"/>
  <c r="E11" i="118"/>
  <c r="I4" i="118"/>
  <c r="F4" i="118"/>
  <c r="F19" i="118"/>
  <c r="I13" i="119"/>
  <c r="H23" i="119"/>
  <c r="I17" i="119"/>
  <c r="I21" i="119"/>
  <c r="E23" i="119"/>
  <c r="I9" i="119"/>
  <c r="I13" i="118"/>
  <c r="I18" i="118"/>
  <c r="F22" i="119"/>
  <c r="G4" i="119"/>
  <c r="I8" i="119"/>
  <c r="F9" i="119"/>
  <c r="I12" i="119"/>
  <c r="F13" i="119"/>
  <c r="I16" i="119"/>
  <c r="F17" i="119"/>
  <c r="I20" i="119"/>
  <c r="F21" i="119"/>
  <c r="F10" i="119"/>
  <c r="I11" i="119"/>
  <c r="F12" i="119"/>
  <c r="I15" i="119"/>
  <c r="F16" i="119"/>
  <c r="I19" i="119"/>
  <c r="F20" i="119"/>
  <c r="F14" i="119"/>
  <c r="F18" i="119"/>
  <c r="F8" i="119"/>
  <c r="J4" i="119"/>
  <c r="I10" i="119"/>
  <c r="F11" i="119"/>
  <c r="I14" i="119"/>
  <c r="F15" i="119"/>
  <c r="I18" i="119"/>
  <c r="F17" i="118"/>
  <c r="I11" i="118"/>
  <c r="F15" i="118"/>
  <c r="F11" i="118"/>
  <c r="F18" i="118"/>
  <c r="F13" i="118"/>
  <c r="G4" i="118"/>
  <c r="F16" i="118"/>
  <c r="I19" i="118"/>
  <c r="J4" i="118"/>
  <c r="I17" i="118"/>
  <c r="I16" i="118"/>
  <c r="I15" i="118"/>
  <c r="A73" i="83"/>
  <c r="A103" i="83"/>
  <c r="B278" i="84"/>
  <c r="D277" i="84"/>
  <c r="L266" i="84"/>
  <c r="L276" i="84"/>
  <c r="D299" i="84"/>
  <c r="D296" i="84"/>
  <c r="D295" i="84"/>
  <c r="D294" i="84"/>
  <c r="J173" i="84"/>
  <c r="I173" i="84"/>
  <c r="H173" i="84"/>
  <c r="G173" i="84"/>
  <c r="F173" i="84"/>
  <c r="E173" i="84"/>
  <c r="D173" i="84"/>
  <c r="J172" i="84"/>
  <c r="J171" i="84"/>
  <c r="J170" i="84"/>
  <c r="D161" i="84"/>
  <c r="D152" i="84"/>
  <c r="A173" i="84"/>
  <c r="E150" i="84"/>
  <c r="F150" i="84"/>
  <c r="G150" i="84"/>
  <c r="H150" i="84"/>
  <c r="I150" i="84"/>
  <c r="J150" i="84"/>
  <c r="B193" i="84"/>
  <c r="B192" i="84"/>
  <c r="B191" i="84"/>
  <c r="B45" i="108"/>
  <c r="O193" i="84"/>
  <c r="P193" i="84"/>
  <c r="L193" i="84"/>
  <c r="C190" i="84"/>
  <c r="C192" i="84"/>
  <c r="L189" i="84"/>
  <c r="L191" i="84"/>
  <c r="P187" i="84"/>
  <c r="M187" i="84"/>
  <c r="A177" i="84"/>
  <c r="A38" i="84"/>
  <c r="A132" i="83"/>
  <c r="F23" i="119"/>
  <c r="I23" i="119"/>
  <c r="G20" i="119"/>
  <c r="G16" i="119"/>
  <c r="G12" i="119"/>
  <c r="G8" i="119"/>
  <c r="G21" i="119"/>
  <c r="G17" i="119"/>
  <c r="G13" i="119"/>
  <c r="G9" i="119"/>
  <c r="G19" i="119"/>
  <c r="G15" i="119"/>
  <c r="G22" i="119"/>
  <c r="G18" i="119"/>
  <c r="G14" i="119"/>
  <c r="G10" i="119"/>
  <c r="G11" i="119"/>
  <c r="J19" i="119"/>
  <c r="J15" i="119"/>
  <c r="J11" i="119"/>
  <c r="J22" i="119"/>
  <c r="J10" i="119"/>
  <c r="K4" i="119"/>
  <c r="J20" i="119"/>
  <c r="J16" i="119"/>
  <c r="J12" i="119"/>
  <c r="J8" i="119"/>
  <c r="J21" i="119"/>
  <c r="J17" i="119"/>
  <c r="J13" i="119"/>
  <c r="J9" i="119"/>
  <c r="J18" i="119"/>
  <c r="J14" i="119"/>
  <c r="J15" i="118"/>
  <c r="J11" i="118"/>
  <c r="J18" i="118"/>
  <c r="J13" i="118"/>
  <c r="J19" i="118"/>
  <c r="J17" i="118"/>
  <c r="J16" i="118"/>
  <c r="K4" i="118"/>
  <c r="G17" i="118"/>
  <c r="G16" i="118"/>
  <c r="G19" i="118"/>
  <c r="G11" i="118"/>
  <c r="G15" i="118"/>
  <c r="G18" i="118"/>
  <c r="G13" i="118"/>
  <c r="C191" i="84"/>
  <c r="C193" i="84"/>
  <c r="D190" i="84"/>
  <c r="A29" i="108"/>
  <c r="H28" i="108"/>
  <c r="H27" i="108"/>
  <c r="H26" i="108"/>
  <c r="C6" i="108"/>
  <c r="D6" i="108"/>
  <c r="E6" i="108"/>
  <c r="F6" i="108"/>
  <c r="G6" i="108"/>
  <c r="H6" i="108"/>
  <c r="A228" i="84"/>
  <c r="A268" i="84"/>
  <c r="J23" i="119"/>
  <c r="K20" i="119"/>
  <c r="K16" i="119"/>
  <c r="K12" i="119"/>
  <c r="K8" i="119"/>
  <c r="K9" i="119"/>
  <c r="K19" i="119"/>
  <c r="K15" i="119"/>
  <c r="K21" i="119"/>
  <c r="K17" i="119"/>
  <c r="K13" i="119"/>
  <c r="K11" i="119"/>
  <c r="K22" i="119"/>
  <c r="K18" i="119"/>
  <c r="K14" i="119"/>
  <c r="K10" i="119"/>
  <c r="G23" i="119"/>
  <c r="K17" i="118"/>
  <c r="K16" i="118"/>
  <c r="K19" i="118"/>
  <c r="K18" i="118"/>
  <c r="K13" i="118"/>
  <c r="K11" i="118"/>
  <c r="K15" i="118"/>
  <c r="D192" i="84"/>
  <c r="D193" i="84"/>
  <c r="D191" i="84"/>
  <c r="E190" i="84"/>
  <c r="K140" i="57"/>
  <c r="K23" i="119"/>
  <c r="E193" i="84"/>
  <c r="E191" i="84"/>
  <c r="E192" i="84"/>
  <c r="F190" i="84"/>
  <c r="AD387" i="95"/>
  <c r="AD388" i="95"/>
  <c r="F191" i="84"/>
  <c r="F192" i="84"/>
  <c r="F193" i="84"/>
  <c r="G190" i="84"/>
  <c r="E27" i="92"/>
  <c r="G192" i="84"/>
  <c r="G193" i="84"/>
  <c r="G191" i="84"/>
  <c r="H190" i="84"/>
  <c r="E1221" i="95"/>
  <c r="H192" i="84"/>
  <c r="H193" i="84"/>
  <c r="H191" i="84"/>
  <c r="M1799" i="95"/>
  <c r="M1798" i="95"/>
  <c r="M1797" i="95"/>
  <c r="M1796" i="95"/>
  <c r="M1795" i="95"/>
  <c r="M1794" i="95"/>
  <c r="M1793" i="95"/>
  <c r="M1792" i="95"/>
  <c r="M1791" i="95"/>
  <c r="M1790" i="95"/>
  <c r="M1789" i="95"/>
  <c r="M1788" i="95"/>
  <c r="M1787" i="95"/>
  <c r="M1786" i="95"/>
  <c r="M1785" i="95"/>
  <c r="M1784" i="95"/>
  <c r="M1783" i="95"/>
  <c r="M1782" i="95"/>
  <c r="M1781" i="95"/>
  <c r="M1780" i="95"/>
  <c r="M1779" i="95"/>
  <c r="M1778" i="95"/>
  <c r="M1777" i="95"/>
  <c r="M1776" i="95"/>
  <c r="E1795" i="95"/>
  <c r="E1782" i="95"/>
  <c r="M1775" i="95"/>
  <c r="M1774" i="95"/>
  <c r="P1751" i="95"/>
  <c r="P1746" i="95"/>
  <c r="P1741" i="95"/>
  <c r="P1740" i="95"/>
  <c r="P1733" i="95"/>
  <c r="E1746" i="95"/>
  <c r="E1733" i="95"/>
  <c r="E1347" i="95"/>
  <c r="E1363" i="95" s="1"/>
  <c r="E1339" i="95"/>
  <c r="E1338" i="95"/>
  <c r="E1337" i="95"/>
  <c r="E1336" i="95"/>
  <c r="N1235" i="95"/>
  <c r="Q1235" i="95"/>
  <c r="Q1234" i="95"/>
  <c r="Q1233" i="95"/>
  <c r="E1235" i="95"/>
  <c r="E1234" i="95"/>
  <c r="E1233" i="95"/>
  <c r="E1231" i="95"/>
  <c r="E1230" i="95"/>
  <c r="E1229" i="95"/>
  <c r="E1228" i="95"/>
  <c r="E1227" i="95"/>
  <c r="E1226" i="95"/>
  <c r="E1225" i="95"/>
  <c r="E1224" i="95"/>
  <c r="U1221" i="95"/>
  <c r="N1220" i="95"/>
  <c r="E1214" i="95"/>
  <c r="E1213" i="95"/>
  <c r="E1212" i="95"/>
  <c r="E1211" i="95"/>
  <c r="E1210" i="95"/>
  <c r="E1209" i="95"/>
  <c r="E1208" i="95"/>
  <c r="E1207" i="95"/>
  <c r="E1206" i="95"/>
  <c r="E1205" i="95"/>
  <c r="E1204" i="95"/>
  <c r="E1355" i="95"/>
  <c r="B39" i="29"/>
  <c r="C203" i="84"/>
  <c r="C204" i="84"/>
  <c r="C205" i="84"/>
  <c r="C206" i="84"/>
  <c r="C207" i="84"/>
  <c r="C208" i="84"/>
  <c r="C209" i="84"/>
  <c r="C210" i="84"/>
  <c r="C217" i="84"/>
  <c r="C216" i="84"/>
  <c r="C215" i="84"/>
  <c r="C214" i="84"/>
  <c r="C213" i="84"/>
  <c r="C212" i="84"/>
  <c r="C223" i="84"/>
  <c r="C222" i="84"/>
  <c r="C221" i="84"/>
  <c r="C220" i="84"/>
  <c r="C229" i="84"/>
  <c r="C227" i="84"/>
  <c r="C226" i="84"/>
  <c r="C225" i="84"/>
  <c r="P1750" i="95"/>
  <c r="P1737" i="95"/>
  <c r="P1731" i="95"/>
  <c r="P1742" i="95"/>
  <c r="P1734" i="95"/>
  <c r="P1726" i="95"/>
  <c r="P1748" i="95"/>
  <c r="P1743" i="95"/>
  <c r="P1735" i="95"/>
  <c r="P1739" i="95"/>
  <c r="P1729" i="95"/>
  <c r="P1725" i="95"/>
  <c r="P1745" i="95"/>
  <c r="P1727" i="95"/>
  <c r="P1747" i="95"/>
  <c r="P1738" i="95"/>
  <c r="P1730" i="95"/>
  <c r="P1749" i="95"/>
  <c r="P1744" i="95"/>
  <c r="P1736" i="95"/>
  <c r="P1732" i="95"/>
  <c r="P1728" i="95"/>
  <c r="O22" i="83"/>
  <c r="M204" i="84"/>
  <c r="M205" i="84"/>
  <c r="D298" i="84"/>
  <c r="N252" i="84"/>
  <c r="A273" i="84"/>
  <c r="A271" i="84"/>
  <c r="A270" i="84"/>
  <c r="A231" i="84"/>
  <c r="A72" i="83"/>
  <c r="E1751" i="95"/>
  <c r="C46" i="83"/>
  <c r="D46" i="83"/>
  <c r="E46" i="83"/>
  <c r="F46" i="83"/>
  <c r="G46" i="83"/>
  <c r="H46" i="83"/>
  <c r="J65" i="83"/>
  <c r="J14" i="83"/>
  <c r="J24" i="83"/>
  <c r="K24" i="83"/>
  <c r="J13" i="83"/>
  <c r="L13" i="83"/>
  <c r="K14" i="83"/>
  <c r="J42" i="83"/>
  <c r="K42" i="83"/>
  <c r="J40" i="83"/>
  <c r="K40" i="83"/>
  <c r="J39" i="83"/>
  <c r="J38" i="83"/>
  <c r="K38" i="83"/>
  <c r="J37" i="83"/>
  <c r="K37" i="83"/>
  <c r="J36" i="83"/>
  <c r="K36" i="83"/>
  <c r="J34" i="83"/>
  <c r="K34" i="83"/>
  <c r="J33" i="83"/>
  <c r="J29" i="83"/>
  <c r="K29" i="83"/>
  <c r="J28" i="83"/>
  <c r="K28" i="83"/>
  <c r="J27" i="83"/>
  <c r="K27" i="83"/>
  <c r="J26" i="83"/>
  <c r="K26" i="83"/>
  <c r="J25" i="83"/>
  <c r="K25" i="83"/>
  <c r="J19" i="83"/>
  <c r="K19" i="83"/>
  <c r="J18" i="83"/>
  <c r="K18" i="83"/>
  <c r="J17" i="83"/>
  <c r="J16" i="83"/>
  <c r="J15" i="83"/>
  <c r="K15" i="83"/>
  <c r="K39" i="83"/>
  <c r="K33" i="83"/>
  <c r="K32" i="83"/>
  <c r="K31" i="83"/>
  <c r="K30" i="83"/>
  <c r="K23" i="83"/>
  <c r="K22" i="83"/>
  <c r="K21" i="83"/>
  <c r="K20" i="83"/>
  <c r="K17" i="83"/>
  <c r="K16" i="83"/>
  <c r="J35" i="83"/>
  <c r="K35" i="83"/>
  <c r="C76" i="83"/>
  <c r="D76" i="83"/>
  <c r="E76" i="83"/>
  <c r="F76" i="83"/>
  <c r="G76" i="83"/>
  <c r="H76" i="83"/>
  <c r="N74" i="83"/>
  <c r="K43" i="83"/>
  <c r="K44" i="83"/>
  <c r="O55" i="108"/>
  <c r="O56" i="108"/>
  <c r="B46" i="108"/>
  <c r="D56" i="108"/>
  <c r="D57" i="108"/>
  <c r="E19" i="109"/>
  <c r="D13" i="109"/>
  <c r="D15" i="109"/>
  <c r="D9" i="109"/>
  <c r="C20" i="109"/>
  <c r="D20" i="109"/>
  <c r="D22" i="109"/>
  <c r="U1230" i="95"/>
  <c r="N1230" i="95" s="1"/>
  <c r="C22" i="109"/>
  <c r="E25" i="109"/>
  <c r="C30" i="109"/>
  <c r="C31" i="109"/>
  <c r="C32" i="109"/>
  <c r="C33" i="109"/>
  <c r="C34" i="109"/>
  <c r="C35" i="109"/>
  <c r="C36" i="109"/>
  <c r="C37" i="109"/>
  <c r="C38" i="109"/>
  <c r="C39" i="109"/>
  <c r="E20" i="109"/>
  <c r="N1234" i="95"/>
  <c r="U1225" i="95"/>
  <c r="N1225" i="95" s="1"/>
  <c r="U1226" i="95"/>
  <c r="N1226" i="95" s="1"/>
  <c r="U1235" i="95"/>
  <c r="U1229" i="95"/>
  <c r="N1229" i="95"/>
  <c r="U1227" i="95"/>
  <c r="N1227" i="95"/>
  <c r="U1228" i="95"/>
  <c r="N1228" i="95"/>
  <c r="U1231" i="95"/>
  <c r="N1231" i="95"/>
  <c r="U1224" i="95"/>
  <c r="N1224" i="95"/>
  <c r="L47" i="108"/>
  <c r="L49" i="108"/>
  <c r="L43" i="108"/>
  <c r="L45" i="108"/>
  <c r="M41" i="108"/>
  <c r="B68" i="108"/>
  <c r="D68" i="108"/>
  <c r="D58" i="108"/>
  <c r="M54" i="108"/>
  <c r="M58" i="108"/>
  <c r="M62" i="108"/>
  <c r="D80" i="108"/>
  <c r="D79" i="108"/>
  <c r="D78" i="108"/>
  <c r="D77" i="108"/>
  <c r="D76" i="108"/>
  <c r="P81" i="108"/>
  <c r="O81" i="108"/>
  <c r="O82" i="108"/>
  <c r="O74" i="108"/>
  <c r="O76" i="108"/>
  <c r="M72" i="108"/>
  <c r="M73" i="108"/>
  <c r="M74" i="108"/>
  <c r="M75" i="108"/>
  <c r="D69" i="108"/>
  <c r="L68" i="108"/>
  <c r="M68" i="108"/>
  <c r="D67" i="108"/>
  <c r="M66" i="108"/>
  <c r="M67" i="108"/>
  <c r="N67" i="108"/>
  <c r="D66" i="108"/>
  <c r="E52" i="108"/>
  <c r="E69" i="108"/>
  <c r="O47" i="108"/>
  <c r="P47" i="108"/>
  <c r="C44" i="108"/>
  <c r="P41" i="108"/>
  <c r="F52" i="108"/>
  <c r="F76" i="108"/>
  <c r="E66" i="108"/>
  <c r="D62" i="108"/>
  <c r="B15" i="21"/>
  <c r="D44" i="108"/>
  <c r="E44" i="108"/>
  <c r="C45" i="108"/>
  <c r="E58" i="108"/>
  <c r="C47" i="108"/>
  <c r="E57" i="108"/>
  <c r="C46" i="108"/>
  <c r="E56" i="108"/>
  <c r="E67" i="108"/>
  <c r="E77" i="108"/>
  <c r="E79" i="108"/>
  <c r="E68" i="108"/>
  <c r="F79" i="108"/>
  <c r="E76" i="108"/>
  <c r="E78" i="108"/>
  <c r="E80" i="108"/>
  <c r="F78" i="108"/>
  <c r="F80" i="108"/>
  <c r="D82" i="108"/>
  <c r="D73" i="108"/>
  <c r="M76" i="108"/>
  <c r="P82" i="108"/>
  <c r="F69" i="108"/>
  <c r="F66" i="108"/>
  <c r="F67" i="108"/>
  <c r="F68" i="108"/>
  <c r="G52" i="108"/>
  <c r="F77" i="108"/>
  <c r="F82" i="108"/>
  <c r="B39" i="21"/>
  <c r="B27" i="21"/>
  <c r="E82" i="108"/>
  <c r="E73" i="108"/>
  <c r="D130" i="29"/>
  <c r="D39" i="29"/>
  <c r="E62" i="108"/>
  <c r="G68" i="108"/>
  <c r="G79" i="108"/>
  <c r="G77" i="108"/>
  <c r="G80" i="108"/>
  <c r="G78" i="108"/>
  <c r="E45" i="108"/>
  <c r="G58" i="108"/>
  <c r="E47" i="108"/>
  <c r="G57" i="108"/>
  <c r="E46" i="108"/>
  <c r="G56" i="108"/>
  <c r="D45" i="108"/>
  <c r="F58" i="108"/>
  <c r="D46" i="108"/>
  <c r="F56" i="108"/>
  <c r="D47" i="108"/>
  <c r="F57" i="108"/>
  <c r="D84" i="108"/>
  <c r="D86" i="108"/>
  <c r="F44" i="108"/>
  <c r="F73" i="108"/>
  <c r="G67" i="108"/>
  <c r="G66" i="108"/>
  <c r="H52" i="108"/>
  <c r="G76" i="108"/>
  <c r="G69" i="108"/>
  <c r="M77" i="108"/>
  <c r="E1140" i="95"/>
  <c r="Q1151" i="95"/>
  <c r="Q1150" i="95"/>
  <c r="Q1149" i="95"/>
  <c r="Q1148" i="95"/>
  <c r="Q1147" i="95"/>
  <c r="Q1146" i="95"/>
  <c r="Q1145" i="95"/>
  <c r="Q1144" i="95"/>
  <c r="Q1143" i="95"/>
  <c r="Q1142" i="95"/>
  <c r="Q1141" i="95"/>
  <c r="N1151" i="95"/>
  <c r="N1150" i="95"/>
  <c r="N1149" i="95"/>
  <c r="N1148" i="95"/>
  <c r="N1147" i="95"/>
  <c r="N1146" i="95"/>
  <c r="N1145" i="95"/>
  <c r="N1144" i="95"/>
  <c r="N1143" i="95"/>
  <c r="N1142" i="95"/>
  <c r="N1141" i="95"/>
  <c r="E1151" i="95"/>
  <c r="E1150" i="95"/>
  <c r="E1149" i="95"/>
  <c r="E1148" i="95"/>
  <c r="E1147" i="95"/>
  <c r="E1146" i="95"/>
  <c r="E1145" i="95"/>
  <c r="E1144" i="95"/>
  <c r="E1143" i="95"/>
  <c r="E1142" i="95"/>
  <c r="E1141" i="95"/>
  <c r="E1193" i="95"/>
  <c r="U1179" i="95"/>
  <c r="N1178" i="95"/>
  <c r="U1178" i="95" s="1"/>
  <c r="E1179" i="95"/>
  <c r="E1178" i="95"/>
  <c r="Q1136" i="95"/>
  <c r="N1136" i="95"/>
  <c r="E1136" i="95"/>
  <c r="D92" i="108"/>
  <c r="D312" i="84"/>
  <c r="C15" i="21"/>
  <c r="E39" i="29"/>
  <c r="C27" i="21"/>
  <c r="D27" i="21"/>
  <c r="C39" i="21"/>
  <c r="D39" i="21"/>
  <c r="E84" i="108"/>
  <c r="E86" i="108"/>
  <c r="G82" i="108"/>
  <c r="G62" i="108"/>
  <c r="F62" i="108"/>
  <c r="D15" i="21"/>
  <c r="F178" i="29" s="1"/>
  <c r="H68" i="108"/>
  <c r="H79" i="108"/>
  <c r="H77" i="108"/>
  <c r="H80" i="108"/>
  <c r="H78" i="108"/>
  <c r="F45" i="108"/>
  <c r="H58" i="108"/>
  <c r="F47" i="108"/>
  <c r="H57" i="108"/>
  <c r="F46" i="108"/>
  <c r="H56" i="108"/>
  <c r="F84" i="108"/>
  <c r="G73" i="108"/>
  <c r="G44" i="108"/>
  <c r="H69" i="108"/>
  <c r="H76" i="108"/>
  <c r="H67" i="108"/>
  <c r="H66" i="108"/>
  <c r="I52" i="108"/>
  <c r="E15" i="21"/>
  <c r="G39" i="29" s="1"/>
  <c r="E27" i="21"/>
  <c r="E39" i="21"/>
  <c r="E92" i="108"/>
  <c r="E312" i="84"/>
  <c r="H62" i="108"/>
  <c r="F15" i="21"/>
  <c r="H39" i="29" s="1"/>
  <c r="F39" i="29"/>
  <c r="F86" i="108"/>
  <c r="I80" i="108"/>
  <c r="I78" i="108"/>
  <c r="I79" i="108"/>
  <c r="I77" i="108"/>
  <c r="I68" i="108"/>
  <c r="G45" i="108"/>
  <c r="I58" i="108"/>
  <c r="G47" i="108"/>
  <c r="I57" i="108"/>
  <c r="G46" i="108"/>
  <c r="I56" i="108"/>
  <c r="H82" i="108"/>
  <c r="G84" i="108"/>
  <c r="G86" i="108"/>
  <c r="H44" i="108"/>
  <c r="H73" i="108"/>
  <c r="I69" i="108"/>
  <c r="I76" i="108"/>
  <c r="I66" i="108"/>
  <c r="J52" i="108"/>
  <c r="I67" i="108"/>
  <c r="J21" i="106"/>
  <c r="I21" i="106"/>
  <c r="J14" i="106"/>
  <c r="I14" i="106"/>
  <c r="I13" i="106"/>
  <c r="I12" i="106"/>
  <c r="I11" i="106"/>
  <c r="J10" i="106"/>
  <c r="I10" i="106"/>
  <c r="J9" i="106"/>
  <c r="I9" i="106"/>
  <c r="I8" i="106"/>
  <c r="J7" i="106"/>
  <c r="I7" i="106"/>
  <c r="I6" i="106"/>
  <c r="J5" i="106"/>
  <c r="I5" i="106"/>
  <c r="J4" i="106"/>
  <c r="I4" i="106"/>
  <c r="I3" i="106"/>
  <c r="I2" i="106"/>
  <c r="L35" i="106"/>
  <c r="L34" i="106"/>
  <c r="M34" i="106"/>
  <c r="L33" i="106"/>
  <c r="M33" i="106"/>
  <c r="L32" i="106"/>
  <c r="F14" i="106"/>
  <c r="F13" i="106"/>
  <c r="F12" i="106"/>
  <c r="F11" i="106"/>
  <c r="F10" i="106"/>
  <c r="F9" i="106"/>
  <c r="F8" i="106"/>
  <c r="F7" i="106"/>
  <c r="F6" i="106"/>
  <c r="F5" i="106"/>
  <c r="F4" i="106"/>
  <c r="F3" i="106"/>
  <c r="F2" i="106"/>
  <c r="L36" i="106"/>
  <c r="K36" i="106"/>
  <c r="K35" i="106"/>
  <c r="K34" i="106"/>
  <c r="K33" i="106"/>
  <c r="K32" i="106"/>
  <c r="M21" i="106"/>
  <c r="L23" i="106"/>
  <c r="L22" i="106"/>
  <c r="L20" i="106"/>
  <c r="L19" i="106"/>
  <c r="L18" i="106"/>
  <c r="L14" i="106"/>
  <c r="L13" i="106"/>
  <c r="L12" i="106"/>
  <c r="L11" i="106"/>
  <c r="L10" i="106"/>
  <c r="L9" i="106"/>
  <c r="L8" i="106"/>
  <c r="L7" i="106"/>
  <c r="L6" i="106"/>
  <c r="L5" i="106"/>
  <c r="L4" i="106"/>
  <c r="L3" i="106"/>
  <c r="L2" i="106"/>
  <c r="F23" i="106"/>
  <c r="F22" i="106"/>
  <c r="F20" i="106"/>
  <c r="F19" i="106"/>
  <c r="F18" i="106"/>
  <c r="E21" i="106"/>
  <c r="G21" i="106"/>
  <c r="D23" i="106"/>
  <c r="J23" i="106"/>
  <c r="D22" i="106"/>
  <c r="J22" i="106"/>
  <c r="D20" i="106"/>
  <c r="J20" i="106"/>
  <c r="D19" i="106"/>
  <c r="J19" i="106"/>
  <c r="D18" i="106"/>
  <c r="J18" i="106"/>
  <c r="C15" i="106"/>
  <c r="C18" i="106"/>
  <c r="E14" i="106"/>
  <c r="K14" i="106"/>
  <c r="E10" i="106"/>
  <c r="K10" i="106"/>
  <c r="E9" i="106"/>
  <c r="E7" i="106"/>
  <c r="K7" i="106"/>
  <c r="E5" i="106"/>
  <c r="K5" i="106"/>
  <c r="E4" i="106"/>
  <c r="K4" i="106"/>
  <c r="D13" i="106"/>
  <c r="E13" i="106"/>
  <c r="D12" i="106"/>
  <c r="E12" i="106"/>
  <c r="D11" i="106"/>
  <c r="E11" i="106"/>
  <c r="K11" i="106"/>
  <c r="D8" i="106"/>
  <c r="E8" i="106"/>
  <c r="D6" i="106"/>
  <c r="E6" i="106"/>
  <c r="K6" i="106"/>
  <c r="D3" i="106"/>
  <c r="E3" i="106"/>
  <c r="K3" i="106"/>
  <c r="D2" i="106"/>
  <c r="E2" i="106"/>
  <c r="K2" i="106"/>
  <c r="O9" i="102"/>
  <c r="K8" i="102"/>
  <c r="F22" i="102"/>
  <c r="F24" i="102"/>
  <c r="M9" i="102"/>
  <c r="W24" i="103"/>
  <c r="P4" i="103"/>
  <c r="V4" i="103"/>
  <c r="P15" i="103"/>
  <c r="P13" i="103"/>
  <c r="P10" i="103"/>
  <c r="M3" i="106"/>
  <c r="F27" i="21"/>
  <c r="G92" i="108"/>
  <c r="G312" i="84"/>
  <c r="F92" i="108"/>
  <c r="F312" i="84"/>
  <c r="F39" i="21"/>
  <c r="M6" i="106"/>
  <c r="I82" i="108"/>
  <c r="I62" i="108"/>
  <c r="G15" i="21"/>
  <c r="J80" i="108"/>
  <c r="J78" i="108"/>
  <c r="J79" i="108"/>
  <c r="J77" i="108"/>
  <c r="J68" i="108"/>
  <c r="H45" i="108"/>
  <c r="J58" i="108"/>
  <c r="H46" i="108"/>
  <c r="J56" i="108"/>
  <c r="H47" i="108"/>
  <c r="J57" i="108"/>
  <c r="H84" i="108"/>
  <c r="H86" i="108"/>
  <c r="I73" i="108"/>
  <c r="J76" i="108"/>
  <c r="J67" i="108"/>
  <c r="J66" i="108"/>
  <c r="J69" i="108"/>
  <c r="M7" i="106"/>
  <c r="G10" i="106"/>
  <c r="J3" i="106"/>
  <c r="J11" i="106"/>
  <c r="J13" i="106"/>
  <c r="M32" i="106"/>
  <c r="M11" i="106"/>
  <c r="J2" i="106"/>
  <c r="J6" i="106"/>
  <c r="J8" i="106"/>
  <c r="J12" i="106"/>
  <c r="G9" i="106"/>
  <c r="M14" i="106"/>
  <c r="G14" i="106"/>
  <c r="K9" i="106"/>
  <c r="M9" i="106"/>
  <c r="M10" i="106"/>
  <c r="C19" i="106"/>
  <c r="E19" i="106"/>
  <c r="I18" i="106"/>
  <c r="G7" i="106"/>
  <c r="G5" i="106"/>
  <c r="M4" i="106"/>
  <c r="E18" i="106"/>
  <c r="K18" i="106"/>
  <c r="M5" i="106"/>
  <c r="G4" i="106"/>
  <c r="K12" i="106"/>
  <c r="M12" i="106"/>
  <c r="G12" i="106"/>
  <c r="G13" i="106"/>
  <c r="K13" i="106"/>
  <c r="M13" i="106"/>
  <c r="G8" i="106"/>
  <c r="K8" i="106"/>
  <c r="M8" i="106"/>
  <c r="M2" i="106"/>
  <c r="G2" i="106"/>
  <c r="G6" i="106"/>
  <c r="G3" i="106"/>
  <c r="G11" i="106"/>
  <c r="M35" i="106"/>
  <c r="U1234" i="95"/>
  <c r="H92" i="108"/>
  <c r="H312" i="84"/>
  <c r="G39" i="21"/>
  <c r="G27" i="21"/>
  <c r="M36" i="106"/>
  <c r="I39" i="29"/>
  <c r="J62" i="108"/>
  <c r="H15" i="21"/>
  <c r="J82" i="108"/>
  <c r="I84" i="108"/>
  <c r="I86" i="108"/>
  <c r="J73" i="108"/>
  <c r="C20" i="106"/>
  <c r="E20" i="106"/>
  <c r="K20" i="106"/>
  <c r="M20" i="106"/>
  <c r="K19" i="106"/>
  <c r="M19" i="106"/>
  <c r="G19" i="106"/>
  <c r="I19" i="106"/>
  <c r="G18" i="106"/>
  <c r="G15" i="106"/>
  <c r="K15" i="106"/>
  <c r="M15" i="106"/>
  <c r="M18" i="106"/>
  <c r="H39" i="21"/>
  <c r="H27" i="21"/>
  <c r="I92" i="108"/>
  <c r="I312" i="84"/>
  <c r="J39" i="29"/>
  <c r="C22" i="106"/>
  <c r="C23" i="106"/>
  <c r="J84" i="108"/>
  <c r="J86" i="108"/>
  <c r="I20" i="106"/>
  <c r="G20" i="106"/>
  <c r="O14" i="48"/>
  <c r="J92" i="108"/>
  <c r="J312" i="84"/>
  <c r="I22" i="106"/>
  <c r="E22" i="106"/>
  <c r="K22" i="106"/>
  <c r="I23" i="106"/>
  <c r="E23" i="106"/>
  <c r="G22" i="106"/>
  <c r="N1193" i="95"/>
  <c r="U1193" i="95" s="1"/>
  <c r="U1136" i="95"/>
  <c r="G23" i="106"/>
  <c r="G24" i="106"/>
  <c r="G38" i="106"/>
  <c r="K23" i="106"/>
  <c r="M23" i="106"/>
  <c r="M22" i="106"/>
  <c r="K24" i="106"/>
  <c r="M24" i="106"/>
  <c r="K27" i="106"/>
  <c r="M27" i="106"/>
  <c r="M26" i="106"/>
  <c r="V16" i="103"/>
  <c r="V15" i="103"/>
  <c r="V14" i="103"/>
  <c r="V13" i="103"/>
  <c r="V10" i="103"/>
  <c r="V8" i="103"/>
  <c r="V5" i="103"/>
  <c r="D29" i="102"/>
  <c r="Q14" i="102"/>
  <c r="Q13" i="102"/>
  <c r="Q12" i="102"/>
  <c r="Q6" i="102"/>
  <c r="Q5" i="102"/>
  <c r="M28" i="106"/>
  <c r="M38" i="106"/>
  <c r="M39" i="106"/>
  <c r="M30" i="106"/>
  <c r="C8" i="104"/>
  <c r="C7" i="104"/>
  <c r="C10" i="104"/>
  <c r="D10" i="104"/>
  <c r="D9" i="104"/>
  <c r="E9" i="104"/>
  <c r="D8" i="104"/>
  <c r="D7" i="104"/>
  <c r="E4" i="104"/>
  <c r="F4" i="104"/>
  <c r="D14" i="104"/>
  <c r="E14" i="104"/>
  <c r="F14" i="104"/>
  <c r="C14" i="104"/>
  <c r="E10" i="104"/>
  <c r="E7" i="104"/>
  <c r="E8" i="104"/>
  <c r="D16" i="102"/>
  <c r="D18" i="102"/>
  <c r="AB16" i="103"/>
  <c r="AB15" i="103"/>
  <c r="AB14" i="103"/>
  <c r="AB13" i="103"/>
  <c r="AB10" i="103"/>
  <c r="AB8" i="103"/>
  <c r="AB5" i="103"/>
  <c r="AB4" i="103"/>
  <c r="G10" i="103"/>
  <c r="Q16" i="103"/>
  <c r="T16" i="103"/>
  <c r="Q15" i="103"/>
  <c r="Q13" i="103"/>
  <c r="Q10" i="103"/>
  <c r="Q8" i="103"/>
  <c r="T8" i="103" s="1"/>
  <c r="Q5" i="103"/>
  <c r="Q4" i="103"/>
  <c r="T4" i="103" s="1"/>
  <c r="G16" i="103"/>
  <c r="G15" i="103"/>
  <c r="G13" i="103"/>
  <c r="H13" i="103"/>
  <c r="G8" i="103"/>
  <c r="G5" i="103"/>
  <c r="G4" i="103"/>
  <c r="P8" i="103"/>
  <c r="F30" i="103"/>
  <c r="E30" i="103"/>
  <c r="B30" i="103"/>
  <c r="F29" i="103"/>
  <c r="G29" i="103"/>
  <c r="E29" i="103"/>
  <c r="B29" i="103"/>
  <c r="F28" i="103"/>
  <c r="G28" i="103"/>
  <c r="E28" i="103"/>
  <c r="B28" i="103"/>
  <c r="F25" i="103"/>
  <c r="B25" i="103"/>
  <c r="F24" i="103"/>
  <c r="B24" i="103"/>
  <c r="F23" i="103"/>
  <c r="B23" i="103"/>
  <c r="F22" i="103"/>
  <c r="E22" i="103"/>
  <c r="B22" i="103"/>
  <c r="F21" i="103"/>
  <c r="E21" i="103"/>
  <c r="B21" i="103"/>
  <c r="C18" i="103"/>
  <c r="M16" i="103"/>
  <c r="D16" i="103"/>
  <c r="M15" i="103"/>
  <c r="D15" i="103"/>
  <c r="M14" i="103"/>
  <c r="D14" i="103"/>
  <c r="M13" i="103"/>
  <c r="D13" i="103"/>
  <c r="Q12" i="103"/>
  <c r="E12" i="103"/>
  <c r="J12" i="103"/>
  <c r="M12" i="103"/>
  <c r="Q11" i="103"/>
  <c r="E11" i="103"/>
  <c r="Z11" i="103"/>
  <c r="M10" i="103"/>
  <c r="D10" i="103"/>
  <c r="Q9" i="103"/>
  <c r="E9" i="103"/>
  <c r="J9" i="103"/>
  <c r="M9" i="103"/>
  <c r="M8" i="103"/>
  <c r="D8" i="103"/>
  <c r="Q7" i="103"/>
  <c r="E7" i="103"/>
  <c r="Z7" i="103"/>
  <c r="Q6" i="103"/>
  <c r="E6" i="103"/>
  <c r="F6" i="103"/>
  <c r="M5" i="103"/>
  <c r="D5" i="103"/>
  <c r="M4" i="103"/>
  <c r="D4" i="103"/>
  <c r="G34" i="102"/>
  <c r="G33" i="102"/>
  <c r="G32" i="102"/>
  <c r="G31" i="102"/>
  <c r="G30" i="102"/>
  <c r="F29" i="102"/>
  <c r="G29" i="102"/>
  <c r="F28" i="102"/>
  <c r="D28" i="102"/>
  <c r="F27" i="102"/>
  <c r="D27" i="102"/>
  <c r="G24" i="102"/>
  <c r="F23" i="102"/>
  <c r="D23" i="102"/>
  <c r="G22" i="102"/>
  <c r="G25" i="102" s="1"/>
  <c r="L17" i="102"/>
  <c r="K17" i="102"/>
  <c r="P17" i="102"/>
  <c r="J17" i="102"/>
  <c r="J14" i="102"/>
  <c r="K14" i="102"/>
  <c r="H14" i="102"/>
  <c r="E14" i="102"/>
  <c r="J13" i="102"/>
  <c r="K13" i="102"/>
  <c r="H13" i="102"/>
  <c r="E13" i="102"/>
  <c r="J12" i="102"/>
  <c r="K12" i="102"/>
  <c r="H12" i="102"/>
  <c r="E12" i="102"/>
  <c r="F10" i="102"/>
  <c r="L8" i="102"/>
  <c r="F8" i="102"/>
  <c r="K6" i="102"/>
  <c r="H6" i="102"/>
  <c r="E6" i="102"/>
  <c r="K5" i="102"/>
  <c r="H5" i="102"/>
  <c r="E5" i="102"/>
  <c r="K2" i="102"/>
  <c r="F10" i="104"/>
  <c r="F15" i="104"/>
  <c r="M2" i="102"/>
  <c r="N2" i="102"/>
  <c r="K27" i="102"/>
  <c r="F11" i="103"/>
  <c r="V11" i="103"/>
  <c r="G23" i="102"/>
  <c r="G22" i="103"/>
  <c r="F7" i="103"/>
  <c r="F12" i="103"/>
  <c r="Z12" i="103"/>
  <c r="H6" i="103"/>
  <c r="V6" i="103"/>
  <c r="H8" i="102"/>
  <c r="Q8" i="102"/>
  <c r="G30" i="103"/>
  <c r="G31" i="103"/>
  <c r="P6" i="103"/>
  <c r="AB6" i="103"/>
  <c r="G28" i="102"/>
  <c r="G21" i="103"/>
  <c r="K18" i="102"/>
  <c r="H16" i="103"/>
  <c r="H15" i="103"/>
  <c r="H8" i="103"/>
  <c r="H5" i="103"/>
  <c r="H4" i="103"/>
  <c r="H18" i="103" s="1"/>
  <c r="H34" i="103" s="1"/>
  <c r="R14" i="103"/>
  <c r="T14" i="103"/>
  <c r="T15" i="103"/>
  <c r="R15" i="103"/>
  <c r="T13" i="103"/>
  <c r="R13" i="103"/>
  <c r="R5" i="103"/>
  <c r="T5" i="103"/>
  <c r="R10" i="103"/>
  <c r="T10" i="103"/>
  <c r="R4" i="103"/>
  <c r="Z6" i="103"/>
  <c r="J7" i="103"/>
  <c r="M7" i="103"/>
  <c r="R8" i="103"/>
  <c r="F9" i="103"/>
  <c r="H10" i="103"/>
  <c r="J11" i="103"/>
  <c r="M11" i="103"/>
  <c r="H14" i="103"/>
  <c r="R16" i="103"/>
  <c r="J6" i="103"/>
  <c r="Z9" i="103"/>
  <c r="K10" i="102"/>
  <c r="J9" i="102"/>
  <c r="G8" i="102"/>
  <c r="D10" i="102"/>
  <c r="H11" i="103"/>
  <c r="P11" i="103"/>
  <c r="AB11" i="103"/>
  <c r="G35" i="103"/>
  <c r="H9" i="103"/>
  <c r="V9" i="103"/>
  <c r="AB9" i="103"/>
  <c r="P9" i="103"/>
  <c r="V7" i="103"/>
  <c r="H7" i="103"/>
  <c r="AB7" i="103"/>
  <c r="P7" i="103"/>
  <c r="V12" i="103"/>
  <c r="AB12" i="103"/>
  <c r="H12" i="103"/>
  <c r="P12" i="103"/>
  <c r="F18" i="103"/>
  <c r="F1" i="103"/>
  <c r="T17" i="103"/>
  <c r="G25" i="103"/>
  <c r="J18" i="103"/>
  <c r="M6" i="103"/>
  <c r="M18" i="103"/>
  <c r="K9" i="102"/>
  <c r="N9" i="102"/>
  <c r="D2" i="102"/>
  <c r="G27" i="102"/>
  <c r="G36" i="102"/>
  <c r="S15" i="55"/>
  <c r="S2" i="55"/>
  <c r="S13" i="55"/>
  <c r="C40" i="81"/>
  <c r="D40" i="81"/>
  <c r="E40" i="81"/>
  <c r="F40" i="81"/>
  <c r="G40" i="81"/>
  <c r="H40" i="81"/>
  <c r="Z154" i="55"/>
  <c r="S166" i="55"/>
  <c r="T156" i="55"/>
  <c r="T166" i="55"/>
  <c r="Z145" i="55"/>
  <c r="T5" i="55"/>
  <c r="S5" i="55"/>
  <c r="S6" i="55"/>
  <c r="U156" i="55"/>
  <c r="V156" i="55"/>
  <c r="V166" i="55"/>
  <c r="M27" i="42"/>
  <c r="M28" i="42"/>
  <c r="N28" i="42"/>
  <c r="L29" i="42"/>
  <c r="M29" i="42"/>
  <c r="K1835" i="95"/>
  <c r="N1828" i="95"/>
  <c r="K1828" i="95"/>
  <c r="N1827" i="95"/>
  <c r="K1827" i="95"/>
  <c r="N1826" i="95"/>
  <c r="K1826" i="95"/>
  <c r="N1812" i="95"/>
  <c r="K1812" i="95"/>
  <c r="N1811" i="95"/>
  <c r="K1811" i="95"/>
  <c r="N1810" i="95"/>
  <c r="K1810" i="95"/>
  <c r="N1809" i="95"/>
  <c r="K1809" i="95"/>
  <c r="N1808" i="95"/>
  <c r="K1808" i="95"/>
  <c r="N1807" i="95"/>
  <c r="K1807" i="95"/>
  <c r="N1806" i="95"/>
  <c r="K1806" i="95"/>
  <c r="N1805" i="95"/>
  <c r="K1805" i="95"/>
  <c r="E1723" i="95"/>
  <c r="E1722" i="95"/>
  <c r="E1721" i="95"/>
  <c r="B6" i="98"/>
  <c r="D275" i="55"/>
  <c r="S182" i="55"/>
  <c r="S181" i="55"/>
  <c r="S180" i="55"/>
  <c r="U166" i="55"/>
  <c r="W156" i="55"/>
  <c r="X156" i="55"/>
  <c r="F129" i="57"/>
  <c r="F13" i="102"/>
  <c r="G13" i="102"/>
  <c r="F14" i="102"/>
  <c r="G14" i="102" s="1"/>
  <c r="F12" i="102"/>
  <c r="G12" i="102" s="1"/>
  <c r="G18" i="102" s="1"/>
  <c r="W166" i="55"/>
  <c r="Y156" i="55"/>
  <c r="Y166" i="55"/>
  <c r="X166" i="55"/>
  <c r="F6" i="102"/>
  <c r="G6" i="102" s="1"/>
  <c r="F5" i="102"/>
  <c r="G5" i="102"/>
  <c r="G10" i="102" s="1"/>
  <c r="F13" i="48"/>
  <c r="H13" i="48"/>
  <c r="J13" i="48"/>
  <c r="B33" i="48"/>
  <c r="M13" i="48"/>
  <c r="U1149" i="95"/>
  <c r="U1151" i="95"/>
  <c r="U1145" i="95"/>
  <c r="U1147" i="95"/>
  <c r="U1144" i="95"/>
  <c r="U1148" i="95"/>
  <c r="K117" i="57"/>
  <c r="L117" i="57" s="1"/>
  <c r="K257" i="101"/>
  <c r="K761" i="99"/>
  <c r="K698" i="99"/>
  <c r="P1714" i="95"/>
  <c r="M1772" i="95"/>
  <c r="M1770" i="95"/>
  <c r="M1771" i="95"/>
  <c r="P1713" i="95"/>
  <c r="P1712" i="95"/>
  <c r="E1838" i="95"/>
  <c r="E1837" i="95"/>
  <c r="E1836" i="95"/>
  <c r="AF1689" i="95"/>
  <c r="AG1686" i="95"/>
  <c r="AH1686" i="95"/>
  <c r="AG1685" i="95"/>
  <c r="AH1685" i="95"/>
  <c r="AG1684" i="95"/>
  <c r="AH1684" i="95"/>
  <c r="AG1683" i="95"/>
  <c r="AH1683" i="95"/>
  <c r="AF1682" i="95"/>
  <c r="N1813" i="95"/>
  <c r="K1813" i="95"/>
  <c r="E1813" i="95"/>
  <c r="M1890" i="95"/>
  <c r="M1889" i="95"/>
  <c r="M1888" i="95"/>
  <c r="M1887" i="95"/>
  <c r="M1886" i="95"/>
  <c r="M1885" i="95"/>
  <c r="M1884" i="95"/>
  <c r="M1883" i="95"/>
  <c r="M1882" i="95"/>
  <c r="E1890" i="95"/>
  <c r="E1889" i="95"/>
  <c r="E1888" i="95"/>
  <c r="E1887" i="95"/>
  <c r="E1886" i="95"/>
  <c r="E1885" i="95"/>
  <c r="E1884" i="95"/>
  <c r="E1883" i="95"/>
  <c r="E1882" i="95"/>
  <c r="S1902" i="95"/>
  <c r="AH1687" i="95"/>
  <c r="D80" i="98"/>
  <c r="F80" i="98"/>
  <c r="H80" i="98"/>
  <c r="D79" i="98"/>
  <c r="F79" i="98"/>
  <c r="H79" i="98"/>
  <c r="D78" i="98"/>
  <c r="F78" i="98"/>
  <c r="H78" i="98"/>
  <c r="D77" i="98"/>
  <c r="F77" i="98"/>
  <c r="H77" i="98"/>
  <c r="D76" i="98"/>
  <c r="F76" i="98"/>
  <c r="H76" i="98"/>
  <c r="D75" i="98"/>
  <c r="F75" i="98"/>
  <c r="H75" i="98"/>
  <c r="D74" i="98"/>
  <c r="F74" i="98"/>
  <c r="H74" i="98"/>
  <c r="D73" i="98"/>
  <c r="F73" i="98"/>
  <c r="H73" i="98"/>
  <c r="D71" i="98"/>
  <c r="F71" i="98"/>
  <c r="H71" i="98"/>
  <c r="D70" i="98"/>
  <c r="F70" i="98"/>
  <c r="H70" i="98"/>
  <c r="D69" i="98"/>
  <c r="F69" i="98"/>
  <c r="H69" i="98"/>
  <c r="D68" i="98"/>
  <c r="F68" i="98"/>
  <c r="H68" i="98"/>
  <c r="D67" i="98"/>
  <c r="F67" i="98"/>
  <c r="H67" i="98"/>
  <c r="D66" i="98"/>
  <c r="F66" i="98"/>
  <c r="H66" i="98"/>
  <c r="D65" i="98"/>
  <c r="F65" i="98"/>
  <c r="H65" i="98"/>
  <c r="D64" i="98"/>
  <c r="F64" i="98"/>
  <c r="H64" i="98"/>
  <c r="D62" i="98"/>
  <c r="F62" i="98"/>
  <c r="H62" i="98"/>
  <c r="D61" i="98"/>
  <c r="F61" i="98"/>
  <c r="H61" i="98"/>
  <c r="D60" i="98"/>
  <c r="F60" i="98"/>
  <c r="H60" i="98"/>
  <c r="D59" i="98"/>
  <c r="F59" i="98"/>
  <c r="H59" i="98"/>
  <c r="D58" i="98"/>
  <c r="F58" i="98"/>
  <c r="H58" i="98"/>
  <c r="D57" i="98"/>
  <c r="F57" i="98"/>
  <c r="H57" i="98"/>
  <c r="D56" i="98"/>
  <c r="F56" i="98"/>
  <c r="H56" i="98"/>
  <c r="D55" i="98"/>
  <c r="F55" i="98"/>
  <c r="H55" i="98"/>
  <c r="B47" i="98"/>
  <c r="B49" i="98"/>
  <c r="D54" i="98"/>
  <c r="F54" i="98"/>
  <c r="H54" i="98"/>
  <c r="K366" i="95"/>
  <c r="K365" i="95"/>
  <c r="K364" i="95"/>
  <c r="K363" i="95"/>
  <c r="K360" i="95"/>
  <c r="K359" i="95"/>
  <c r="K358" i="95"/>
  <c r="K357" i="95"/>
  <c r="K355" i="95"/>
  <c r="K354" i="95"/>
  <c r="B8" i="98"/>
  <c r="B10" i="98"/>
  <c r="D15" i="98"/>
  <c r="F15" i="98"/>
  <c r="H15" i="98"/>
  <c r="C72" i="98"/>
  <c r="C63" i="98"/>
  <c r="D26" i="98"/>
  <c r="D30" i="98"/>
  <c r="F30" i="98"/>
  <c r="H30" i="98"/>
  <c r="D18" i="98"/>
  <c r="D34" i="98"/>
  <c r="F34" i="98"/>
  <c r="H34" i="98"/>
  <c r="D22" i="98"/>
  <c r="H354" i="95"/>
  <c r="N354" i="95"/>
  <c r="D23" i="98"/>
  <c r="D31" i="98"/>
  <c r="F31" i="98"/>
  <c r="H31" i="98"/>
  <c r="D16" i="98"/>
  <c r="D20" i="98"/>
  <c r="D28" i="98"/>
  <c r="D32" i="98"/>
  <c r="F32" i="98"/>
  <c r="H32" i="98"/>
  <c r="D36" i="98"/>
  <c r="F36" i="98"/>
  <c r="H36" i="98"/>
  <c r="D19" i="98"/>
  <c r="D27" i="98"/>
  <c r="D35" i="98"/>
  <c r="F35" i="98"/>
  <c r="H35" i="98"/>
  <c r="D17" i="98"/>
  <c r="D21" i="98"/>
  <c r="D25" i="98"/>
  <c r="D29" i="98"/>
  <c r="F29" i="98"/>
  <c r="H29" i="98"/>
  <c r="D37" i="98"/>
  <c r="F37" i="98"/>
  <c r="H37" i="98"/>
  <c r="C33" i="98"/>
  <c r="D33" i="98"/>
  <c r="C24" i="98"/>
  <c r="D24" i="98"/>
  <c r="E1720" i="95"/>
  <c r="E1719" i="95"/>
  <c r="E1718" i="95"/>
  <c r="E1717" i="95"/>
  <c r="E1716" i="95"/>
  <c r="P1711" i="95"/>
  <c r="P1710" i="95"/>
  <c r="P1709" i="95"/>
  <c r="P1708" i="95"/>
  <c r="P1707" i="95"/>
  <c r="P1706" i="95"/>
  <c r="P1705" i="95"/>
  <c r="P1704" i="95"/>
  <c r="P1703" i="95"/>
  <c r="P1702" i="95"/>
  <c r="P1701" i="95"/>
  <c r="P1700" i="95"/>
  <c r="P1699" i="95"/>
  <c r="P1698" i="95"/>
  <c r="M1769" i="95"/>
  <c r="M1768" i="95"/>
  <c r="M1767" i="95"/>
  <c r="M1766" i="95"/>
  <c r="M1765" i="95"/>
  <c r="M1764" i="95"/>
  <c r="M1763" i="95"/>
  <c r="M1762" i="95"/>
  <c r="M1761" i="95"/>
  <c r="M1760" i="95"/>
  <c r="M1759" i="95"/>
  <c r="M1758" i="95"/>
  <c r="M1757" i="95"/>
  <c r="M1756" i="95"/>
  <c r="N1157" i="95"/>
  <c r="Q1255" i="95"/>
  <c r="Q1254" i="95"/>
  <c r="Q1253" i="95"/>
  <c r="N1255" i="95"/>
  <c r="N1254" i="95"/>
  <c r="N1253" i="95"/>
  <c r="Q1252" i="95"/>
  <c r="N1252" i="95"/>
  <c r="E1256" i="95"/>
  <c r="E1255" i="95"/>
  <c r="E1254" i="95"/>
  <c r="E1253" i="95"/>
  <c r="E1252" i="95"/>
  <c r="N1244" i="95"/>
  <c r="E1251" i="95"/>
  <c r="Q1213" i="95"/>
  <c r="Q1212" i="95"/>
  <c r="Q1211" i="95"/>
  <c r="Q1210" i="95"/>
  <c r="Q1209" i="95"/>
  <c r="Q1208" i="95"/>
  <c r="Q1207" i="95"/>
  <c r="Q1206" i="95"/>
  <c r="Q1205" i="95"/>
  <c r="Q1204" i="95"/>
  <c r="Q1203" i="95"/>
  <c r="N1214" i="95"/>
  <c r="N1213" i="95"/>
  <c r="N1212" i="95"/>
  <c r="N1211" i="95"/>
  <c r="N1210" i="95"/>
  <c r="N1209" i="95"/>
  <c r="N1208" i="95"/>
  <c r="N1207" i="95"/>
  <c r="N1206" i="95"/>
  <c r="N1205" i="95"/>
  <c r="N1204" i="95"/>
  <c r="N1203" i="95"/>
  <c r="Q1202" i="95"/>
  <c r="N1202" i="95"/>
  <c r="E1203" i="95"/>
  <c r="N1198" i="95"/>
  <c r="E1202" i="95"/>
  <c r="Q1121" i="95"/>
  <c r="N1121" i="95"/>
  <c r="Q1272" i="95"/>
  <c r="Q1271" i="95"/>
  <c r="Q1270" i="95"/>
  <c r="Q1269" i="95"/>
  <c r="N1272" i="95"/>
  <c r="N1271" i="95"/>
  <c r="N1270" i="95"/>
  <c r="N1269" i="95"/>
  <c r="E1272" i="95"/>
  <c r="E1271" i="95"/>
  <c r="E1270" i="95"/>
  <c r="E1269" i="95"/>
  <c r="Q1268" i="95"/>
  <c r="N1268" i="95"/>
  <c r="Q1267" i="95"/>
  <c r="N1267" i="95"/>
  <c r="E1268" i="95"/>
  <c r="E1267" i="95"/>
  <c r="U1182" i="95"/>
  <c r="Q1192" i="95"/>
  <c r="Q1191" i="95"/>
  <c r="Q1190" i="95"/>
  <c r="Q1189" i="95"/>
  <c r="Q1188" i="95"/>
  <c r="Q1187" i="95"/>
  <c r="Q1186" i="95"/>
  <c r="Q1185" i="95"/>
  <c r="Q1184" i="95"/>
  <c r="Q1183" i="95"/>
  <c r="Q1182" i="95"/>
  <c r="Q1181" i="95"/>
  <c r="Q1180" i="95"/>
  <c r="Q1177" i="95"/>
  <c r="Q1176" i="95"/>
  <c r="Q1175" i="95"/>
  <c r="Q1174" i="95"/>
  <c r="Q1173" i="95"/>
  <c r="Q1172" i="95"/>
  <c r="Q1171" i="95"/>
  <c r="Q1170" i="95"/>
  <c r="Q1169" i="95"/>
  <c r="Q1168" i="95"/>
  <c r="Q1167" i="95"/>
  <c r="Q1166" i="95"/>
  <c r="Q1165" i="95"/>
  <c r="Q1164" i="95"/>
  <c r="N1192" i="95"/>
  <c r="N1191" i="95"/>
  <c r="N1190" i="95"/>
  <c r="N1189" i="95"/>
  <c r="N1188" i="95"/>
  <c r="N1187" i="95"/>
  <c r="N1186" i="95"/>
  <c r="N1185" i="95"/>
  <c r="N1184" i="95"/>
  <c r="N1183" i="95"/>
  <c r="N1182" i="95"/>
  <c r="N1181" i="95"/>
  <c r="N1180" i="95"/>
  <c r="N1177" i="95"/>
  <c r="N1176" i="95"/>
  <c r="N1175" i="95"/>
  <c r="N1174" i="95"/>
  <c r="N1173" i="95"/>
  <c r="N1172" i="95"/>
  <c r="N1171" i="95"/>
  <c r="N1170" i="95"/>
  <c r="N1169" i="95"/>
  <c r="N1168" i="95"/>
  <c r="N1166" i="95"/>
  <c r="N1165" i="95"/>
  <c r="N1164" i="95"/>
  <c r="Q1163" i="95"/>
  <c r="N1163" i="95"/>
  <c r="E1192" i="95"/>
  <c r="E1191" i="95"/>
  <c r="E1190" i="95"/>
  <c r="E1189" i="95"/>
  <c r="E1188" i="95"/>
  <c r="E1187" i="95"/>
  <c r="E1186" i="95"/>
  <c r="E1185" i="95"/>
  <c r="E1184" i="95"/>
  <c r="E1183" i="95"/>
  <c r="E1182" i="95"/>
  <c r="E1181" i="95"/>
  <c r="E1180" i="95"/>
  <c r="E1177" i="95"/>
  <c r="E1176" i="95"/>
  <c r="E1175" i="95"/>
  <c r="E1174" i="95"/>
  <c r="E1173" i="95"/>
  <c r="E1172" i="95"/>
  <c r="E1171" i="95"/>
  <c r="E1170" i="95"/>
  <c r="E1169" i="95"/>
  <c r="E1168" i="95"/>
  <c r="E1167" i="95"/>
  <c r="E1166" i="95"/>
  <c r="E1165" i="95"/>
  <c r="E1164" i="95"/>
  <c r="E1163" i="95"/>
  <c r="E1162" i="95"/>
  <c r="N1159" i="95"/>
  <c r="Q1159" i="95"/>
  <c r="E1159" i="95"/>
  <c r="Q1135" i="95"/>
  <c r="N1135" i="95"/>
  <c r="E1135" i="95"/>
  <c r="Q1134" i="95"/>
  <c r="N1134" i="95"/>
  <c r="E1134" i="95"/>
  <c r="Q1133" i="95"/>
  <c r="N1133" i="95"/>
  <c r="E1133" i="95"/>
  <c r="Q1132" i="95"/>
  <c r="N1132" i="95"/>
  <c r="E1132" i="95"/>
  <c r="Q1131" i="95"/>
  <c r="N1131" i="95"/>
  <c r="E1131" i="95"/>
  <c r="Q1130" i="95"/>
  <c r="N1130" i="95"/>
  <c r="E1130" i="95"/>
  <c r="Q1129" i="95"/>
  <c r="N1129" i="95"/>
  <c r="E1129" i="95"/>
  <c r="Q1128" i="95"/>
  <c r="N1128" i="95"/>
  <c r="E1128" i="95"/>
  <c r="Q1127" i="95"/>
  <c r="N1127" i="95"/>
  <c r="E1127" i="95"/>
  <c r="Q1126" i="95"/>
  <c r="N1126" i="95"/>
  <c r="E1126" i="95"/>
  <c r="Q1125" i="95"/>
  <c r="N1125" i="95"/>
  <c r="E1125" i="95"/>
  <c r="Q1124" i="95"/>
  <c r="N1124" i="95"/>
  <c r="E1124" i="95"/>
  <c r="E1121" i="95"/>
  <c r="K1105" i="95"/>
  <c r="N1105" i="95"/>
  <c r="Q1105" i="95"/>
  <c r="R1865" i="95"/>
  <c r="R1866" i="95"/>
  <c r="AG1845" i="95"/>
  <c r="AG1846" i="95"/>
  <c r="AG1847" i="95"/>
  <c r="K1834" i="95"/>
  <c r="N1804" i="95"/>
  <c r="H363" i="95"/>
  <c r="N363" i="95"/>
  <c r="Q363" i="95"/>
  <c r="W363" i="95"/>
  <c r="H365" i="95"/>
  <c r="N365" i="95"/>
  <c r="H364" i="95"/>
  <c r="N364" i="95"/>
  <c r="Q354" i="95"/>
  <c r="W354" i="95"/>
  <c r="F28" i="98"/>
  <c r="H28" i="98"/>
  <c r="H366" i="95"/>
  <c r="N366" i="95"/>
  <c r="F25" i="98"/>
  <c r="H25" i="98"/>
  <c r="F27" i="98"/>
  <c r="H27" i="98"/>
  <c r="F23" i="98"/>
  <c r="H23" i="98"/>
  <c r="F18" i="98"/>
  <c r="H18" i="98"/>
  <c r="H357" i="95"/>
  <c r="N357" i="95"/>
  <c r="F21" i="98"/>
  <c r="H21" i="98"/>
  <c r="H360" i="95"/>
  <c r="N360" i="95"/>
  <c r="F19" i="98"/>
  <c r="H19" i="98"/>
  <c r="H358" i="95"/>
  <c r="N358" i="95"/>
  <c r="F20" i="98"/>
  <c r="H20" i="98"/>
  <c r="H359" i="95"/>
  <c r="N359" i="95"/>
  <c r="F17" i="98"/>
  <c r="H17" i="98"/>
  <c r="F16" i="98"/>
  <c r="H16" i="98"/>
  <c r="H355" i="95"/>
  <c r="N355" i="95"/>
  <c r="F22" i="98"/>
  <c r="H22" i="98"/>
  <c r="F26" i="98"/>
  <c r="H26" i="98"/>
  <c r="N1803" i="95"/>
  <c r="K1804" i="95"/>
  <c r="K1803" i="95"/>
  <c r="E1410" i="95"/>
  <c r="E1384" i="95"/>
  <c r="V1394" i="95"/>
  <c r="Q359" i="95"/>
  <c r="W359" i="95"/>
  <c r="Q360" i="95"/>
  <c r="W360" i="95"/>
  <c r="Q364" i="95"/>
  <c r="W364" i="95"/>
  <c r="Q365" i="95"/>
  <c r="W365" i="95"/>
  <c r="Q355" i="95"/>
  <c r="W355" i="95"/>
  <c r="Q366" i="95"/>
  <c r="W366" i="95"/>
  <c r="Q358" i="95"/>
  <c r="W358" i="95"/>
  <c r="Q357" i="95"/>
  <c r="W357" i="95"/>
  <c r="W1971" i="95"/>
  <c r="W1970" i="95"/>
  <c r="W1969" i="95"/>
  <c r="W1968" i="95"/>
  <c r="W1967" i="95"/>
  <c r="W1966" i="95"/>
  <c r="W1965" i="95"/>
  <c r="T1970" i="95"/>
  <c r="T1969" i="95"/>
  <c r="T1968" i="95"/>
  <c r="T1967" i="95"/>
  <c r="T1966" i="95"/>
  <c r="T1965" i="95"/>
  <c r="W1964" i="95"/>
  <c r="T1964" i="95"/>
  <c r="T1963" i="95"/>
  <c r="B1980" i="95"/>
  <c r="B1979" i="95"/>
  <c r="C1971" i="95"/>
  <c r="B1971" i="95"/>
  <c r="C1970" i="95"/>
  <c r="B1970" i="95"/>
  <c r="C1969" i="95"/>
  <c r="B1969" i="95"/>
  <c r="C1968" i="95"/>
  <c r="B1968" i="95"/>
  <c r="C1967" i="95"/>
  <c r="B1967" i="95"/>
  <c r="C1966" i="95"/>
  <c r="B1966" i="95"/>
  <c r="C1965" i="95"/>
  <c r="B1965" i="95"/>
  <c r="C1964" i="95"/>
  <c r="B1964" i="95"/>
  <c r="C1963" i="95"/>
  <c r="B1963" i="95"/>
  <c r="W1961" i="95"/>
  <c r="T1961" i="95"/>
  <c r="C1961" i="95"/>
  <c r="B1961" i="95"/>
  <c r="W297" i="95"/>
  <c r="Q296" i="95"/>
  <c r="M296" i="95"/>
  <c r="W295" i="95"/>
  <c r="W293" i="95"/>
  <c r="W296" i="95"/>
  <c r="Q295" i="95"/>
  <c r="Q294" i="95"/>
  <c r="Q293" i="95"/>
  <c r="M295" i="95"/>
  <c r="M294" i="95"/>
  <c r="M293" i="95"/>
  <c r="E299" i="95"/>
  <c r="E298" i="95"/>
  <c r="E297" i="95"/>
  <c r="E296" i="95"/>
  <c r="E295" i="95"/>
  <c r="E294" i="95"/>
  <c r="E293" i="95"/>
  <c r="C239" i="95"/>
  <c r="C238" i="95"/>
  <c r="C237" i="95"/>
  <c r="M241" i="95"/>
  <c r="K241" i="95"/>
  <c r="O240" i="95"/>
  <c r="M240" i="95"/>
  <c r="K240" i="95"/>
  <c r="I240" i="95"/>
  <c r="M239" i="95"/>
  <c r="K239" i="95"/>
  <c r="I239" i="95"/>
  <c r="G239" i="95"/>
  <c r="O238" i="95"/>
  <c r="M238" i="95"/>
  <c r="K238" i="95"/>
  <c r="I238" i="95"/>
  <c r="G238" i="95"/>
  <c r="O237" i="95"/>
  <c r="M237" i="95"/>
  <c r="K237" i="95"/>
  <c r="I237" i="95"/>
  <c r="G237" i="95"/>
  <c r="C236" i="95"/>
  <c r="G236" i="95"/>
  <c r="I236" i="95"/>
  <c r="K236" i="95"/>
  <c r="M236" i="95"/>
  <c r="O236" i="95"/>
  <c r="Q236" i="95"/>
  <c r="T236" i="95"/>
  <c r="W236" i="95"/>
  <c r="P1718" i="95"/>
  <c r="M13" i="102"/>
  <c r="N13" i="102" s="1"/>
  <c r="P1722" i="95"/>
  <c r="P1717" i="95"/>
  <c r="M6" i="102"/>
  <c r="N6" i="102" s="1"/>
  <c r="P1723" i="95"/>
  <c r="M14" i="102"/>
  <c r="N14" i="102" s="1"/>
  <c r="P1721" i="95"/>
  <c r="M12" i="102"/>
  <c r="N12" i="102"/>
  <c r="P1719" i="95"/>
  <c r="U1254" i="95"/>
  <c r="U1213" i="95"/>
  <c r="U1212" i="95"/>
  <c r="M5" i="102"/>
  <c r="N5" i="102" s="1"/>
  <c r="P1716" i="95"/>
  <c r="U1203" i="95"/>
  <c r="P1720" i="95"/>
  <c r="M8" i="102"/>
  <c r="N8" i="102"/>
  <c r="C10" i="94"/>
  <c r="E1281" i="95"/>
  <c r="C9" i="94"/>
  <c r="C8" i="94"/>
  <c r="C7" i="94"/>
  <c r="E1282" i="95"/>
  <c r="C6" i="94"/>
  <c r="C5" i="94"/>
  <c r="E1382" i="95"/>
  <c r="E1408" i="95"/>
  <c r="C6" i="62"/>
  <c r="C5" i="62"/>
  <c r="C8" i="62"/>
  <c r="B20" i="91" s="1"/>
  <c r="E17" i="92"/>
  <c r="U1205" i="95"/>
  <c r="D276" i="55"/>
  <c r="P6" i="42"/>
  <c r="T10" i="55"/>
  <c r="U1192" i="95"/>
  <c r="P10" i="57"/>
  <c r="Q10" i="57" s="1"/>
  <c r="U1186" i="95"/>
  <c r="U1190" i="95"/>
  <c r="U1134" i="95"/>
  <c r="U1185" i="95"/>
  <c r="U1187" i="95"/>
  <c r="U1191" i="95"/>
  <c r="U1189" i="95"/>
  <c r="U1184" i="95"/>
  <c r="U1188" i="95"/>
  <c r="U1183" i="95"/>
  <c r="J17" i="62"/>
  <c r="J18" i="62"/>
  <c r="F65" i="92"/>
  <c r="F48" i="92"/>
  <c r="F23" i="92"/>
  <c r="F22" i="92"/>
  <c r="E22" i="92"/>
  <c r="H21" i="92"/>
  <c r="G21" i="92"/>
  <c r="F21" i="92"/>
  <c r="E21" i="92"/>
  <c r="F20" i="92"/>
  <c r="E20" i="92"/>
  <c r="F19" i="92"/>
  <c r="E19" i="92"/>
  <c r="E18" i="92"/>
  <c r="B17" i="92"/>
  <c r="B6" i="92"/>
  <c r="B3" i="92"/>
  <c r="B38" i="91"/>
  <c r="B22" i="91"/>
  <c r="B18" i="91"/>
  <c r="B14" i="91"/>
  <c r="J21" i="62"/>
  <c r="J22" i="62"/>
  <c r="O127" i="57"/>
  <c r="N137" i="57"/>
  <c r="O130" i="57"/>
  <c r="O131" i="57"/>
  <c r="M137" i="57"/>
  <c r="P17" i="57"/>
  <c r="U1130" i="95"/>
  <c r="U1177" i="95"/>
  <c r="U1173" i="95"/>
  <c r="X14" i="61"/>
  <c r="O12" i="42"/>
  <c r="P12" i="42"/>
  <c r="A21" i="21"/>
  <c r="P42" i="42"/>
  <c r="O42" i="42"/>
  <c r="O43" i="42"/>
  <c r="D1866" i="95"/>
  <c r="O35" i="42"/>
  <c r="O37" i="42"/>
  <c r="M33" i="42"/>
  <c r="M34" i="42"/>
  <c r="M35" i="42"/>
  <c r="M36" i="42"/>
  <c r="M37" i="42"/>
  <c r="P43" i="42"/>
  <c r="D66" i="29"/>
  <c r="M38" i="42"/>
  <c r="M40" i="29"/>
  <c r="J277" i="55"/>
  <c r="I277" i="55"/>
  <c r="H277" i="55"/>
  <c r="G277" i="55"/>
  <c r="F277" i="55"/>
  <c r="E277" i="55"/>
  <c r="D277" i="55"/>
  <c r="D282" i="55"/>
  <c r="U1180" i="95"/>
  <c r="U1271" i="95"/>
  <c r="U1270" i="95"/>
  <c r="U1269" i="95"/>
  <c r="U1124" i="95"/>
  <c r="U1165" i="95"/>
  <c r="U1174" i="95"/>
  <c r="U1125" i="95"/>
  <c r="U1129" i="95"/>
  <c r="U1166" i="95"/>
  <c r="U1170" i="95"/>
  <c r="U1175" i="95"/>
  <c r="U1135" i="95"/>
  <c r="U1131" i="95"/>
  <c r="U1126" i="95"/>
  <c r="U1171" i="95"/>
  <c r="U1127" i="95"/>
  <c r="U1132" i="95"/>
  <c r="U1168" i="95"/>
  <c r="U1172" i="95"/>
  <c r="U1128" i="95"/>
  <c r="U1133" i="95"/>
  <c r="B7" i="81"/>
  <c r="B9" i="81" s="1"/>
  <c r="B9" i="68"/>
  <c r="U1159" i="95"/>
  <c r="U1268" i="95"/>
  <c r="U1272" i="95"/>
  <c r="U1202" i="95"/>
  <c r="U1217" i="95" s="1"/>
  <c r="U1204" i="95"/>
  <c r="U1206" i="95"/>
  <c r="U1207" i="95"/>
  <c r="U1208" i="95"/>
  <c r="U1209" i="95"/>
  <c r="U1210" i="95"/>
  <c r="U1211" i="95"/>
  <c r="AN1279" i="95"/>
  <c r="D10" i="120"/>
  <c r="F10" i="120"/>
  <c r="D32" i="55"/>
  <c r="D64" i="55"/>
  <c r="J90" i="55" s="1"/>
  <c r="B7" i="83"/>
  <c r="B9" i="83"/>
  <c r="D41" i="83"/>
  <c r="D260" i="55"/>
  <c r="D261" i="55"/>
  <c r="V11" i="61"/>
  <c r="B113" i="81"/>
  <c r="D30" i="53"/>
  <c r="D83" i="53"/>
  <c r="D31" i="53"/>
  <c r="D84" i="53"/>
  <c r="D205" i="53"/>
  <c r="D214" i="53"/>
  <c r="D243" i="53"/>
  <c r="D164" i="55"/>
  <c r="D165" i="55"/>
  <c r="D166" i="55"/>
  <c r="E28" i="48"/>
  <c r="F9" i="48"/>
  <c r="H9" i="48"/>
  <c r="E29" i="48"/>
  <c r="F10" i="48"/>
  <c r="H10" i="48"/>
  <c r="D30" i="48"/>
  <c r="E30" i="48"/>
  <c r="F11" i="48"/>
  <c r="H11" i="48"/>
  <c r="J11" i="48"/>
  <c r="E31" i="48"/>
  <c r="F12" i="48"/>
  <c r="H12" i="48"/>
  <c r="E32" i="48"/>
  <c r="D33" i="48"/>
  <c r="E33" i="48"/>
  <c r="D34" i="48"/>
  <c r="E34" i="48"/>
  <c r="D35" i="48"/>
  <c r="E35" i="48"/>
  <c r="D36" i="48"/>
  <c r="E36" i="48"/>
  <c r="D37" i="48"/>
  <c r="E37" i="48"/>
  <c r="D38" i="48"/>
  <c r="E38" i="48"/>
  <c r="J15" i="48"/>
  <c r="J16" i="48"/>
  <c r="J17" i="48"/>
  <c r="M9" i="48"/>
  <c r="M10" i="48"/>
  <c r="M11" i="48"/>
  <c r="M12" i="48"/>
  <c r="M15" i="48"/>
  <c r="M16" i="48"/>
  <c r="M17" i="48"/>
  <c r="D293" i="84"/>
  <c r="D297" i="84"/>
  <c r="D265" i="53"/>
  <c r="D266" i="53"/>
  <c r="D267" i="53"/>
  <c r="D268" i="53"/>
  <c r="C10" i="62"/>
  <c r="C9" i="62"/>
  <c r="C7" i="62"/>
  <c r="E174" i="55"/>
  <c r="I32" i="55"/>
  <c r="H32" i="55"/>
  <c r="G32" i="55"/>
  <c r="F32" i="55"/>
  <c r="E64" i="55"/>
  <c r="E32" i="55"/>
  <c r="E198" i="84"/>
  <c r="N12" i="83"/>
  <c r="O12" i="83"/>
  <c r="P12" i="83"/>
  <c r="Q12" i="83"/>
  <c r="C90" i="81"/>
  <c r="E124" i="53"/>
  <c r="F124" i="53"/>
  <c r="G124" i="53"/>
  <c r="C106" i="83"/>
  <c r="D106" i="83"/>
  <c r="E106" i="83"/>
  <c r="F106" i="83"/>
  <c r="G106" i="83"/>
  <c r="H106" i="83"/>
  <c r="I31" i="53"/>
  <c r="I84" i="53"/>
  <c r="H31" i="53"/>
  <c r="H84" i="53"/>
  <c r="G31" i="53"/>
  <c r="G84" i="53"/>
  <c r="F31" i="53"/>
  <c r="F84" i="53"/>
  <c r="E31" i="53"/>
  <c r="E84" i="53"/>
  <c r="G23" i="48"/>
  <c r="H23" i="48"/>
  <c r="H52" i="48"/>
  <c r="H56" i="48"/>
  <c r="D36" i="21"/>
  <c r="E17" i="42"/>
  <c r="E164" i="55"/>
  <c r="E165" i="55"/>
  <c r="E166" i="55"/>
  <c r="C9" i="42"/>
  <c r="F164" i="55"/>
  <c r="F165" i="55"/>
  <c r="F166" i="55"/>
  <c r="G164" i="55"/>
  <c r="G165" i="55"/>
  <c r="G166" i="55"/>
  <c r="H164" i="55"/>
  <c r="H165" i="55"/>
  <c r="H166" i="55"/>
  <c r="I164" i="55"/>
  <c r="I165" i="55"/>
  <c r="I166" i="55"/>
  <c r="J164" i="55"/>
  <c r="J165" i="55"/>
  <c r="J166" i="55"/>
  <c r="A42" i="81"/>
  <c r="A70" i="83"/>
  <c r="A100" i="83"/>
  <c r="A68" i="83"/>
  <c r="A55" i="55"/>
  <c r="A113" i="55"/>
  <c r="A166" i="55"/>
  <c r="A215" i="55"/>
  <c r="A67" i="83"/>
  <c r="A97" i="83"/>
  <c r="A66" i="83"/>
  <c r="C9" i="61"/>
  <c r="C17" i="61"/>
  <c r="V8" i="61"/>
  <c r="V9" i="61"/>
  <c r="V10" i="61"/>
  <c r="V12" i="61"/>
  <c r="V13" i="61"/>
  <c r="U13" i="61"/>
  <c r="U12" i="61"/>
  <c r="U10" i="61"/>
  <c r="U11" i="61"/>
  <c r="U9" i="61"/>
  <c r="O13" i="61"/>
  <c r="P13" i="61" s="1"/>
  <c r="Q13" i="61" s="1"/>
  <c r="R13" i="61" s="1"/>
  <c r="N13" i="61"/>
  <c r="O12" i="61"/>
  <c r="P12" i="61" s="1"/>
  <c r="Q12" i="61" s="1"/>
  <c r="R12" i="61" s="1"/>
  <c r="N12" i="61"/>
  <c r="N11" i="61"/>
  <c r="N10" i="61"/>
  <c r="O10" i="61"/>
  <c r="P10" i="61" s="1"/>
  <c r="Q10" i="61" s="1"/>
  <c r="R10" i="61" s="1"/>
  <c r="O9" i="61"/>
  <c r="P9" i="61" s="1"/>
  <c r="Q9" i="61" s="1"/>
  <c r="N9" i="61"/>
  <c r="R8" i="61"/>
  <c r="Q8" i="61"/>
  <c r="P8" i="61"/>
  <c r="O8" i="61"/>
  <c r="C15" i="61"/>
  <c r="J178" i="29"/>
  <c r="I178" i="29"/>
  <c r="H178" i="29"/>
  <c r="G178" i="29"/>
  <c r="E178" i="29"/>
  <c r="D178" i="29"/>
  <c r="B130" i="29"/>
  <c r="B146" i="29" s="1"/>
  <c r="B162" i="29" s="1"/>
  <c r="B178" i="29" s="1"/>
  <c r="B129" i="29"/>
  <c r="B145" i="29" s="1"/>
  <c r="B161" i="29" s="1"/>
  <c r="B177" i="29" s="1"/>
  <c r="J162" i="29"/>
  <c r="I162" i="29"/>
  <c r="H162" i="29"/>
  <c r="G162" i="29"/>
  <c r="E162" i="29"/>
  <c r="D162" i="29"/>
  <c r="J146" i="29"/>
  <c r="I146" i="29"/>
  <c r="H146" i="29"/>
  <c r="F146" i="29"/>
  <c r="E146" i="29"/>
  <c r="D146" i="29"/>
  <c r="J130" i="29"/>
  <c r="I130" i="29"/>
  <c r="H130" i="29"/>
  <c r="E130" i="29"/>
  <c r="B128" i="29"/>
  <c r="B127" i="29"/>
  <c r="B126" i="29"/>
  <c r="B142" i="29" s="1"/>
  <c r="B158" i="29" s="1"/>
  <c r="B174" i="29" s="1"/>
  <c r="B124" i="29"/>
  <c r="B140" i="29" s="1"/>
  <c r="B156" i="29" s="1"/>
  <c r="B172" i="29" s="1"/>
  <c r="B123" i="29"/>
  <c r="B139" i="29" s="1"/>
  <c r="B155" i="29" s="1"/>
  <c r="B171" i="29" s="1"/>
  <c r="B38" i="29"/>
  <c r="B37" i="29"/>
  <c r="B36" i="29"/>
  <c r="B35" i="29"/>
  <c r="B33" i="29"/>
  <c r="B32" i="29"/>
  <c r="C52" i="61"/>
  <c r="C51" i="61"/>
  <c r="C50" i="61"/>
  <c r="C49" i="61"/>
  <c r="C48" i="61"/>
  <c r="C47" i="61"/>
  <c r="A179" i="53"/>
  <c r="A243" i="53"/>
  <c r="A74" i="83"/>
  <c r="A104" i="83"/>
  <c r="A102" i="83"/>
  <c r="A71" i="83"/>
  <c r="A101" i="83"/>
  <c r="A65" i="83"/>
  <c r="A64" i="83"/>
  <c r="A94" i="83"/>
  <c r="A63" i="83"/>
  <c r="A93" i="83"/>
  <c r="A62" i="83"/>
  <c r="A49" i="55"/>
  <c r="A107" i="55"/>
  <c r="A160" i="55"/>
  <c r="A209" i="55"/>
  <c r="A252" i="55"/>
  <c r="A61" i="83"/>
  <c r="A91" i="83"/>
  <c r="A60" i="83"/>
  <c r="A47" i="55"/>
  <c r="A105" i="55"/>
  <c r="A158" i="55"/>
  <c r="A207" i="55"/>
  <c r="A250" i="55"/>
  <c r="A59" i="83"/>
  <c r="A89" i="83"/>
  <c r="A58" i="83"/>
  <c r="A57" i="83"/>
  <c r="A87" i="83"/>
  <c r="A56" i="83"/>
  <c r="A86" i="83"/>
  <c r="A55" i="83"/>
  <c r="A85" i="83"/>
  <c r="A54" i="83"/>
  <c r="A41" i="55"/>
  <c r="A99" i="55"/>
  <c r="A152" i="55"/>
  <c r="A201" i="55"/>
  <c r="A244" i="55"/>
  <c r="A53" i="83"/>
  <c r="A83" i="83"/>
  <c r="A52" i="83"/>
  <c r="A82" i="83"/>
  <c r="A51" i="83"/>
  <c r="A50" i="83"/>
  <c r="A37" i="55"/>
  <c r="A95" i="55"/>
  <c r="A148" i="55"/>
  <c r="A197" i="55"/>
  <c r="A240" i="55"/>
  <c r="A49" i="83"/>
  <c r="A48" i="83"/>
  <c r="A32" i="53"/>
  <c r="A153" i="53"/>
  <c r="A220" i="53"/>
  <c r="A31" i="53"/>
  <c r="A152" i="53"/>
  <c r="A219" i="53"/>
  <c r="A62" i="81"/>
  <c r="A61" i="81"/>
  <c r="A60" i="81"/>
  <c r="A43" i="81"/>
  <c r="A34" i="55"/>
  <c r="A92" i="55"/>
  <c r="A145" i="55"/>
  <c r="A194" i="55" s="1"/>
  <c r="A237" i="55" s="1"/>
  <c r="A260" i="55"/>
  <c r="A261" i="55"/>
  <c r="A59" i="81"/>
  <c r="C42" i="84"/>
  <c r="D42" i="84"/>
  <c r="E42" i="84"/>
  <c r="E66" i="29"/>
  <c r="Y12" i="83"/>
  <c r="Z12" i="83"/>
  <c r="AA12" i="83"/>
  <c r="S12" i="83"/>
  <c r="T12" i="83"/>
  <c r="U12" i="83"/>
  <c r="V12" i="83"/>
  <c r="W12" i="83"/>
  <c r="A44" i="81"/>
  <c r="F15" i="48"/>
  <c r="F16" i="48"/>
  <c r="F17" i="48"/>
  <c r="A26" i="53"/>
  <c r="A147" i="53"/>
  <c r="A214" i="53"/>
  <c r="A58" i="81"/>
  <c r="A57" i="81"/>
  <c r="A56" i="81"/>
  <c r="A55" i="81"/>
  <c r="A54" i="81"/>
  <c r="A53" i="81"/>
  <c r="A52" i="81"/>
  <c r="A51" i="81"/>
  <c r="A138" i="53"/>
  <c r="A205" i="53"/>
  <c r="A49" i="81"/>
  <c r="A48" i="81"/>
  <c r="A47" i="81"/>
  <c r="A46" i="81"/>
  <c r="A45" i="81"/>
  <c r="A129" i="53"/>
  <c r="A61" i="53"/>
  <c r="A70" i="53"/>
  <c r="A50" i="81"/>
  <c r="A123" i="72"/>
  <c r="A32" i="55"/>
  <c r="A90" i="55"/>
  <c r="A143" i="55"/>
  <c r="B32" i="48"/>
  <c r="B31" i="48"/>
  <c r="B29" i="48"/>
  <c r="B28" i="48"/>
  <c r="M15" i="62"/>
  <c r="M17" i="62"/>
  <c r="B99" i="29"/>
  <c r="B98" i="29"/>
  <c r="B97" i="29"/>
  <c r="B96" i="29"/>
  <c r="A23" i="21"/>
  <c r="A33" i="21"/>
  <c r="D1865" i="95"/>
  <c r="A24" i="21"/>
  <c r="A36" i="21" s="1"/>
  <c r="A25" i="21"/>
  <c r="B17" i="68"/>
  <c r="B16" i="68"/>
  <c r="A251" i="53"/>
  <c r="A250" i="53"/>
  <c r="A249" i="53"/>
  <c r="A247" i="53"/>
  <c r="A246" i="53"/>
  <c r="A245" i="53"/>
  <c r="A244" i="53"/>
  <c r="A195" i="53"/>
  <c r="F17" i="42"/>
  <c r="I98" i="29"/>
  <c r="F66" i="29"/>
  <c r="G66" i="29" s="1"/>
  <c r="H66" i="29" s="1"/>
  <c r="I66" i="29" s="1"/>
  <c r="J66" i="29" s="1"/>
  <c r="A39" i="84"/>
  <c r="A269" i="84"/>
  <c r="E1750" i="95"/>
  <c r="A178" i="84"/>
  <c r="A33" i="108"/>
  <c r="B143" i="29"/>
  <c r="E299" i="84"/>
  <c r="E292" i="84"/>
  <c r="E294" i="84"/>
  <c r="E295" i="84"/>
  <c r="E277" i="84"/>
  <c r="E296" i="84"/>
  <c r="F41" i="83"/>
  <c r="H41" i="83"/>
  <c r="B132" i="83"/>
  <c r="C132" i="83"/>
  <c r="D132" i="83"/>
  <c r="E132" i="83"/>
  <c r="F132" i="83"/>
  <c r="G132" i="83"/>
  <c r="H132" i="83"/>
  <c r="A175" i="84"/>
  <c r="A31" i="108"/>
  <c r="B144" i="29"/>
  <c r="B160" i="29" s="1"/>
  <c r="B176" i="29" s="1"/>
  <c r="A131" i="83"/>
  <c r="A56" i="53"/>
  <c r="A109" i="53"/>
  <c r="A176" i="84"/>
  <c r="A32" i="108"/>
  <c r="A174" i="84"/>
  <c r="A30" i="108"/>
  <c r="A171" i="84"/>
  <c r="A27" i="108"/>
  <c r="A20" i="84"/>
  <c r="A250" i="84"/>
  <c r="A159" i="84"/>
  <c r="A15" i="108"/>
  <c r="A24" i="84"/>
  <c r="A254" i="84"/>
  <c r="A163" i="84"/>
  <c r="A19" i="108"/>
  <c r="A123" i="83"/>
  <c r="A48" i="53"/>
  <c r="A101" i="53"/>
  <c r="A167" i="84"/>
  <c r="A23" i="108"/>
  <c r="A112" i="83"/>
  <c r="A37" i="53"/>
  <c r="A158" i="53"/>
  <c r="A225" i="53"/>
  <c r="A156" i="84"/>
  <c r="A12" i="108"/>
  <c r="A160" i="84"/>
  <c r="A16" i="108"/>
  <c r="A168" i="84"/>
  <c r="A24" i="108"/>
  <c r="A113" i="83"/>
  <c r="A38" i="53"/>
  <c r="A157" i="84"/>
  <c r="A13" i="108"/>
  <c r="A117" i="83"/>
  <c r="A42" i="53"/>
  <c r="A95" i="53"/>
  <c r="A161" i="84"/>
  <c r="A17" i="108"/>
  <c r="A121" i="83"/>
  <c r="A46" i="53"/>
  <c r="A99" i="53"/>
  <c r="A165" i="84"/>
  <c r="A21" i="108"/>
  <c r="U1253" i="95"/>
  <c r="E698" i="95"/>
  <c r="U1252" i="95"/>
  <c r="U1163" i="95"/>
  <c r="U1255" i="95"/>
  <c r="E1799" i="95"/>
  <c r="U1121" i="95"/>
  <c r="U1153" i="95"/>
  <c r="AN1282" i="95"/>
  <c r="E298" i="84"/>
  <c r="E297" i="84"/>
  <c r="A67" i="84"/>
  <c r="A137" i="84"/>
  <c r="A229" i="84"/>
  <c r="N8" i="48"/>
  <c r="N18" i="48"/>
  <c r="E275" i="55"/>
  <c r="U1105" i="95"/>
  <c r="AN1281" i="95" s="1"/>
  <c r="A18" i="55"/>
  <c r="A76" i="55"/>
  <c r="A129" i="55" s="1"/>
  <c r="A83" i="81"/>
  <c r="A108" i="81"/>
  <c r="A25" i="53"/>
  <c r="A78" i="53"/>
  <c r="A85" i="81"/>
  <c r="A110" i="81"/>
  <c r="A28" i="53"/>
  <c r="A81" i="53"/>
  <c r="A69" i="81"/>
  <c r="A94" i="81"/>
  <c r="A11" i="53"/>
  <c r="A28" i="55"/>
  <c r="A86" i="55"/>
  <c r="A139" i="55"/>
  <c r="A187" i="55" s="1"/>
  <c r="A232" i="55" s="1"/>
  <c r="A86" i="81"/>
  <c r="A111" i="81"/>
  <c r="A29" i="53"/>
  <c r="A150" i="53"/>
  <c r="A217" i="53"/>
  <c r="A82" i="81"/>
  <c r="A28" i="72"/>
  <c r="A53" i="72" s="1"/>
  <c r="A111" i="72" s="1"/>
  <c r="A23" i="55"/>
  <c r="A81" i="55"/>
  <c r="A134" i="55" s="1"/>
  <c r="A182" i="55" s="1"/>
  <c r="A17" i="55"/>
  <c r="A75" i="55"/>
  <c r="A128" i="55"/>
  <c r="A81" i="81"/>
  <c r="A106" i="81"/>
  <c r="A23" i="53"/>
  <c r="A144" i="53"/>
  <c r="A211" i="53"/>
  <c r="A87" i="81"/>
  <c r="A112" i="81"/>
  <c r="A30" i="53"/>
  <c r="A151" i="53"/>
  <c r="A218" i="53"/>
  <c r="A69" i="55"/>
  <c r="A180" i="55"/>
  <c r="E243" i="53"/>
  <c r="A78" i="83"/>
  <c r="E697" i="95"/>
  <c r="F265" i="53"/>
  <c r="E267" i="53"/>
  <c r="E266" i="53"/>
  <c r="F266" i="53"/>
  <c r="A85" i="53"/>
  <c r="A58" i="55"/>
  <c r="A116" i="55"/>
  <c r="A169" i="55"/>
  <c r="A218" i="55"/>
  <c r="A258" i="55"/>
  <c r="G52" i="48"/>
  <c r="G56" i="48"/>
  <c r="C36" i="21"/>
  <c r="F268" i="53"/>
  <c r="E268" i="53"/>
  <c r="F205" i="53"/>
  <c r="E276" i="55"/>
  <c r="H38" i="48"/>
  <c r="F267" i="53"/>
  <c r="E37" i="42"/>
  <c r="E43" i="42"/>
  <c r="C35" i="21"/>
  <c r="E265" i="53"/>
  <c r="F33" i="48"/>
  <c r="E205" i="53"/>
  <c r="E261" i="55"/>
  <c r="E260" i="55"/>
  <c r="A30" i="55"/>
  <c r="A88" i="55"/>
  <c r="A141" i="55"/>
  <c r="A189" i="55"/>
  <c r="A234" i="55" s="1"/>
  <c r="A39" i="55"/>
  <c r="A97" i="55"/>
  <c r="A150" i="55"/>
  <c r="A199" i="55"/>
  <c r="A242" i="55"/>
  <c r="A40" i="55"/>
  <c r="A98" i="55"/>
  <c r="A151" i="55"/>
  <c r="A200" i="55"/>
  <c r="A243" i="55"/>
  <c r="A84" i="81"/>
  <c r="A18" i="84"/>
  <c r="A248" i="84"/>
  <c r="A57" i="55"/>
  <c r="A115" i="55"/>
  <c r="A168" i="55"/>
  <c r="A217" i="55"/>
  <c r="A257" i="55"/>
  <c r="E293" i="84"/>
  <c r="A27" i="55"/>
  <c r="A85" i="55"/>
  <c r="A138" i="55"/>
  <c r="A186" i="55"/>
  <c r="A231" i="55" s="1"/>
  <c r="A46" i="55"/>
  <c r="A104" i="55"/>
  <c r="A157" i="55"/>
  <c r="A206" i="55"/>
  <c r="A249" i="55"/>
  <c r="A17" i="84"/>
  <c r="A247" i="84"/>
  <c r="A29" i="55"/>
  <c r="A87" i="55"/>
  <c r="A140" i="55"/>
  <c r="A188" i="55"/>
  <c r="A233" i="55" s="1"/>
  <c r="A59" i="55"/>
  <c r="A117" i="55"/>
  <c r="A170" i="55"/>
  <c r="A219" i="55"/>
  <c r="A259" i="55"/>
  <c r="A43" i="55"/>
  <c r="A101" i="55"/>
  <c r="A154" i="55"/>
  <c r="A203" i="55"/>
  <c r="A246" i="55"/>
  <c r="A73" i="81"/>
  <c r="E689" i="95"/>
  <c r="E1762" i="95"/>
  <c r="A24" i="55"/>
  <c r="A82" i="55"/>
  <c r="A135" i="55"/>
  <c r="A183" i="55" s="1"/>
  <c r="E1769" i="95"/>
  <c r="AN1275" i="95"/>
  <c r="A26" i="55"/>
  <c r="A84" i="55"/>
  <c r="A137" i="55"/>
  <c r="A185" i="55"/>
  <c r="A230" i="55" s="1"/>
  <c r="A84" i="53"/>
  <c r="E686" i="95"/>
  <c r="E1759" i="95"/>
  <c r="A74" i="81"/>
  <c r="E690" i="95"/>
  <c r="E1763" i="95"/>
  <c r="A22" i="55"/>
  <c r="A80" i="55"/>
  <c r="A133" i="55"/>
  <c r="E694" i="95"/>
  <c r="E1767" i="95"/>
  <c r="A26" i="84"/>
  <c r="A256" i="84"/>
  <c r="A48" i="55"/>
  <c r="A106" i="55"/>
  <c r="A159" i="55"/>
  <c r="A208" i="55"/>
  <c r="A251" i="55"/>
  <c r="A56" i="55"/>
  <c r="A114" i="55"/>
  <c r="A167" i="55"/>
  <c r="A216" i="55"/>
  <c r="A67" i="81"/>
  <c r="E683" i="95"/>
  <c r="E1756" i="95"/>
  <c r="U1267" i="95"/>
  <c r="A77" i="81"/>
  <c r="E693" i="95"/>
  <c r="E1766" i="95"/>
  <c r="E685" i="95"/>
  <c r="E1758" i="95"/>
  <c r="A21" i="55"/>
  <c r="A79" i="55"/>
  <c r="A132" i="55" s="1"/>
  <c r="A75" i="81"/>
  <c r="E691" i="95"/>
  <c r="E1764" i="95"/>
  <c r="E687" i="95"/>
  <c r="E1760" i="95"/>
  <c r="A37" i="21"/>
  <c r="D1869" i="95"/>
  <c r="A35" i="21"/>
  <c r="D1867" i="95"/>
  <c r="A13" i="55"/>
  <c r="A71" i="55"/>
  <c r="A124" i="55" s="1"/>
  <c r="A16" i="55"/>
  <c r="A74" i="55"/>
  <c r="A127" i="55"/>
  <c r="E688" i="95"/>
  <c r="E1761" i="95"/>
  <c r="E692" i="95"/>
  <c r="E1765" i="95"/>
  <c r="A79" i="81"/>
  <c r="E1768" i="95"/>
  <c r="A68" i="81"/>
  <c r="E684" i="95"/>
  <c r="E1757" i="95"/>
  <c r="A130" i="83"/>
  <c r="A55" i="53"/>
  <c r="A176" i="53"/>
  <c r="A240" i="53"/>
  <c r="A36" i="84"/>
  <c r="A266" i="84"/>
  <c r="A78" i="81"/>
  <c r="G34" i="48"/>
  <c r="F174" i="55"/>
  <c r="A80" i="83"/>
  <c r="A79" i="53"/>
  <c r="A50" i="55"/>
  <c r="A108" i="55"/>
  <c r="A161" i="55"/>
  <c r="A210" i="55"/>
  <c r="A253" i="55"/>
  <c r="A28" i="84"/>
  <c r="A258" i="84"/>
  <c r="A70" i="55"/>
  <c r="A123" i="55" s="1"/>
  <c r="A37" i="84"/>
  <c r="A267" i="84"/>
  <c r="A31" i="55"/>
  <c r="A89" i="55"/>
  <c r="A142" i="55"/>
  <c r="A190" i="55" s="1"/>
  <c r="A235" i="55" s="1"/>
  <c r="A90" i="83"/>
  <c r="D9" i="42"/>
  <c r="G36" i="48"/>
  <c r="F34" i="48"/>
  <c r="A19" i="55"/>
  <c r="A77" i="55"/>
  <c r="A130" i="55"/>
  <c r="A25" i="55"/>
  <c r="A83" i="55"/>
  <c r="A136" i="55"/>
  <c r="A184" i="55" s="1"/>
  <c r="A229" i="55" s="1"/>
  <c r="A80" i="81"/>
  <c r="H33" i="48"/>
  <c r="G33" i="48"/>
  <c r="A22" i="84"/>
  <c r="A252" i="84"/>
  <c r="A51" i="55"/>
  <c r="A109" i="55"/>
  <c r="A162" i="55"/>
  <c r="A211" i="55"/>
  <c r="A254" i="55"/>
  <c r="G38" i="48"/>
  <c r="H124" i="53"/>
  <c r="I124" i="53"/>
  <c r="I219" i="53"/>
  <c r="G265" i="53"/>
  <c r="G266" i="53"/>
  <c r="G267" i="53"/>
  <c r="G205" i="53"/>
  <c r="A169" i="53"/>
  <c r="A236" i="53"/>
  <c r="A98" i="83"/>
  <c r="F38" i="48"/>
  <c r="A72" i="81"/>
  <c r="D16" i="83"/>
  <c r="F16" i="83"/>
  <c r="H16" i="83"/>
  <c r="D14" i="83"/>
  <c r="C23" i="83"/>
  <c r="A119" i="83"/>
  <c r="A44" i="53"/>
  <c r="A97" i="53"/>
  <c r="D304" i="84"/>
  <c r="B38" i="21"/>
  <c r="H37" i="48"/>
  <c r="F35" i="48"/>
  <c r="D219" i="53"/>
  <c r="E90" i="55"/>
  <c r="E236" i="55" s="1"/>
  <c r="H90" i="55"/>
  <c r="F90" i="55"/>
  <c r="F236" i="55"/>
  <c r="G90" i="55"/>
  <c r="I90" i="55"/>
  <c r="J98" i="29"/>
  <c r="I12" i="29"/>
  <c r="I62" i="29"/>
  <c r="G35" i="48"/>
  <c r="D31" i="48"/>
  <c r="G31" i="48"/>
  <c r="D90" i="55"/>
  <c r="D236" i="55" s="1"/>
  <c r="D218" i="53"/>
  <c r="D273" i="53"/>
  <c r="B37" i="21"/>
  <c r="J12" i="48"/>
  <c r="D32" i="48"/>
  <c r="G32" i="48"/>
  <c r="F30" i="48"/>
  <c r="D42" i="83"/>
  <c r="D20" i="83"/>
  <c r="D38" i="83"/>
  <c r="F38" i="83"/>
  <c r="H38" i="83"/>
  <c r="D16" i="81"/>
  <c r="B94" i="81" s="1"/>
  <c r="C94" i="81" s="1"/>
  <c r="E11" i="53" s="1"/>
  <c r="E64" i="53" s="1"/>
  <c r="A70" i="81"/>
  <c r="A14" i="55"/>
  <c r="A72" i="55"/>
  <c r="A125" i="55" s="1"/>
  <c r="A167" i="53"/>
  <c r="A234" i="53"/>
  <c r="A20" i="55"/>
  <c r="A78" i="55"/>
  <c r="A131" i="55"/>
  <c r="A76" i="81"/>
  <c r="A81" i="83"/>
  <c r="A38" i="55"/>
  <c r="A96" i="55"/>
  <c r="A149" i="55"/>
  <c r="A198" i="55"/>
  <c r="A241" i="55"/>
  <c r="A159" i="53"/>
  <c r="A226" i="53"/>
  <c r="A91" i="53"/>
  <c r="A54" i="55"/>
  <c r="A112" i="55"/>
  <c r="A165" i="55"/>
  <c r="A214" i="55"/>
  <c r="A71" i="81"/>
  <c r="A15" i="55"/>
  <c r="A73" i="55"/>
  <c r="A126" i="55"/>
  <c r="A181" i="55" s="1"/>
  <c r="E1702" i="95" s="1"/>
  <c r="F42" i="84"/>
  <c r="A45" i="55"/>
  <c r="A103" i="55"/>
  <c r="A156" i="55"/>
  <c r="A205" i="55"/>
  <c r="A88" i="83"/>
  <c r="F219" i="53"/>
  <c r="A29" i="84"/>
  <c r="A259" i="84"/>
  <c r="A124" i="83"/>
  <c r="A49" i="53"/>
  <c r="A44" i="55"/>
  <c r="A102" i="55"/>
  <c r="A155" i="55"/>
  <c r="A204" i="55"/>
  <c r="A96" i="83"/>
  <c r="A53" i="55"/>
  <c r="A111" i="55"/>
  <c r="A164" i="55"/>
  <c r="A213" i="55"/>
  <c r="A35" i="55"/>
  <c r="A93" i="55"/>
  <c r="A146" i="55"/>
  <c r="A195" i="55"/>
  <c r="A238" i="55"/>
  <c r="A79" i="83"/>
  <c r="A36" i="55"/>
  <c r="A94" i="55"/>
  <c r="A147" i="55"/>
  <c r="A196" i="55"/>
  <c r="A239" i="55"/>
  <c r="A116" i="83"/>
  <c r="A41" i="53"/>
  <c r="A21" i="84"/>
  <c r="A95" i="83"/>
  <c r="A52" i="55"/>
  <c r="A110" i="55"/>
  <c r="A163" i="55"/>
  <c r="A212" i="55"/>
  <c r="A255" i="55"/>
  <c r="A35" i="84"/>
  <c r="A265" i="84"/>
  <c r="A129" i="83"/>
  <c r="A54" i="53"/>
  <c r="I23" i="48"/>
  <c r="I30" i="48"/>
  <c r="H36" i="48"/>
  <c r="H34" i="48"/>
  <c r="H30" i="48"/>
  <c r="H35" i="48"/>
  <c r="G243" i="53"/>
  <c r="G268" i="53"/>
  <c r="J62" i="29"/>
  <c r="J12" i="29"/>
  <c r="A42" i="55"/>
  <c r="A100" i="55"/>
  <c r="A153" i="55"/>
  <c r="A202" i="55"/>
  <c r="A245" i="55"/>
  <c r="A84" i="83"/>
  <c r="A115" i="83"/>
  <c r="A40" i="53"/>
  <c r="A92" i="83"/>
  <c r="A133" i="83"/>
  <c r="A57" i="53"/>
  <c r="F198" i="84"/>
  <c r="F37" i="48"/>
  <c r="G37" i="48"/>
  <c r="V16" i="61"/>
  <c r="G17" i="42"/>
  <c r="F37" i="42"/>
  <c r="F43" i="42"/>
  <c r="D35" i="21"/>
  <c r="G214" i="53"/>
  <c r="G219" i="53"/>
  <c r="D7" i="120"/>
  <c r="F7" i="120"/>
  <c r="G30" i="48"/>
  <c r="E219" i="53"/>
  <c r="F214" i="53"/>
  <c r="F243" i="53"/>
  <c r="D90" i="81"/>
  <c r="E90" i="81"/>
  <c r="F90" i="81"/>
  <c r="G90" i="81"/>
  <c r="H90" i="81"/>
  <c r="C113" i="81"/>
  <c r="E214" i="53"/>
  <c r="J9" i="48"/>
  <c r="D29" i="48"/>
  <c r="D40" i="83"/>
  <c r="F40" i="83"/>
  <c r="H40" i="83"/>
  <c r="D19" i="83"/>
  <c r="D39" i="83"/>
  <c r="F39" i="83"/>
  <c r="H39" i="83"/>
  <c r="D18" i="83"/>
  <c r="D17" i="83"/>
  <c r="D22" i="83"/>
  <c r="D21" i="83"/>
  <c r="C32" i="83"/>
  <c r="D15" i="83"/>
  <c r="F36" i="48"/>
  <c r="J10" i="48"/>
  <c r="C32" i="81"/>
  <c r="A214" i="84"/>
  <c r="E1785" i="95"/>
  <c r="H143" i="55"/>
  <c r="H191" i="55" s="1"/>
  <c r="I143" i="55"/>
  <c r="A57" i="84"/>
  <c r="A112" i="84"/>
  <c r="F16" i="81"/>
  <c r="H16" i="81" s="1"/>
  <c r="A163" i="53"/>
  <c r="A230" i="53"/>
  <c r="A177" i="53"/>
  <c r="A241" i="53"/>
  <c r="A90" i="53"/>
  <c r="F294" i="84"/>
  <c r="F295" i="84"/>
  <c r="F277" i="84"/>
  <c r="F296" i="84"/>
  <c r="F299" i="84"/>
  <c r="F292" i="84"/>
  <c r="B73" i="83"/>
  <c r="B159" i="29"/>
  <c r="B175" i="29" s="1"/>
  <c r="D5" i="120"/>
  <c r="E1781" i="95"/>
  <c r="A53" i="84"/>
  <c r="A96" i="84"/>
  <c r="E1736" i="95"/>
  <c r="A169" i="84"/>
  <c r="A25" i="108"/>
  <c r="A170" i="84"/>
  <c r="A26" i="108"/>
  <c r="A33" i="84"/>
  <c r="A223" i="84"/>
  <c r="A172" i="84"/>
  <c r="A28" i="108"/>
  <c r="A158" i="84"/>
  <c r="A14" i="108"/>
  <c r="A153" i="84"/>
  <c r="A9" i="108"/>
  <c r="A162" i="84"/>
  <c r="A18" i="108"/>
  <c r="A108" i="83"/>
  <c r="A33" i="53"/>
  <c r="A86" i="53"/>
  <c r="A152" i="84"/>
  <c r="A8" i="108"/>
  <c r="A155" i="84"/>
  <c r="A11" i="108"/>
  <c r="A120" i="83"/>
  <c r="A45" i="53"/>
  <c r="A166" i="53"/>
  <c r="A233" i="53"/>
  <c r="A164" i="84"/>
  <c r="A20" i="108"/>
  <c r="A110" i="83"/>
  <c r="A35" i="53"/>
  <c r="A156" i="53"/>
  <c r="A223" i="53"/>
  <c r="A154" i="84"/>
  <c r="A10" i="108"/>
  <c r="A210" i="84"/>
  <c r="E1732" i="95"/>
  <c r="A166" i="84"/>
  <c r="A22" i="108"/>
  <c r="U1282" i="95"/>
  <c r="E355" i="95"/>
  <c r="E1698" i="95"/>
  <c r="E359" i="95"/>
  <c r="E365" i="95"/>
  <c r="E354" i="95"/>
  <c r="E363" i="95"/>
  <c r="E358" i="95"/>
  <c r="E357" i="95"/>
  <c r="E1712" i="95"/>
  <c r="G28" i="48"/>
  <c r="A23" i="72"/>
  <c r="A48" i="72" s="1"/>
  <c r="A95" i="72" s="1"/>
  <c r="A19" i="72"/>
  <c r="A44" i="72" s="1"/>
  <c r="A81" i="72" s="1"/>
  <c r="E1778" i="95"/>
  <c r="E1729" i="95"/>
  <c r="E1796" i="95"/>
  <c r="E1747" i="95"/>
  <c r="E1789" i="95"/>
  <c r="E1740" i="95"/>
  <c r="E1779" i="95"/>
  <c r="E1730" i="95"/>
  <c r="E1787" i="95"/>
  <c r="E1738" i="95"/>
  <c r="E1797" i="95"/>
  <c r="E1748" i="95"/>
  <c r="E1790" i="95"/>
  <c r="E1741" i="95"/>
  <c r="E1783" i="95"/>
  <c r="E1734" i="95"/>
  <c r="E1798" i="95"/>
  <c r="E1749" i="95"/>
  <c r="E304" i="84"/>
  <c r="F298" i="84"/>
  <c r="A55" i="84"/>
  <c r="A104" i="84"/>
  <c r="A212" i="84"/>
  <c r="A62" i="84"/>
  <c r="A123" i="84"/>
  <c r="A54" i="84"/>
  <c r="A100" i="84"/>
  <c r="A61" i="84"/>
  <c r="A122" i="84"/>
  <c r="A59" i="84"/>
  <c r="A120" i="84"/>
  <c r="A216" i="84"/>
  <c r="A50" i="84"/>
  <c r="A85" i="84"/>
  <c r="A207" i="84"/>
  <c r="A66" i="84"/>
  <c r="A133" i="84"/>
  <c r="A227" i="84"/>
  <c r="A64" i="84"/>
  <c r="A125" i="84"/>
  <c r="A225" i="84"/>
  <c r="A65" i="84"/>
  <c r="A129" i="84"/>
  <c r="A226" i="84"/>
  <c r="A51" i="84"/>
  <c r="A89" i="84"/>
  <c r="A208" i="84"/>
  <c r="D37" i="83"/>
  <c r="F37" i="83"/>
  <c r="H37" i="83"/>
  <c r="D35" i="83"/>
  <c r="F35" i="83"/>
  <c r="H35" i="83"/>
  <c r="B71" i="83"/>
  <c r="B70" i="83"/>
  <c r="B72" i="83"/>
  <c r="D24" i="83"/>
  <c r="D33" i="83"/>
  <c r="D34" i="83"/>
  <c r="B133" i="83"/>
  <c r="D57" i="53"/>
  <c r="D110" i="53"/>
  <c r="F42" i="83"/>
  <c r="H42" i="83"/>
  <c r="U1195" i="95"/>
  <c r="AN1283" i="95" s="1"/>
  <c r="F275" i="55"/>
  <c r="E1704" i="95"/>
  <c r="A82" i="53"/>
  <c r="A76" i="53"/>
  <c r="A27" i="72"/>
  <c r="A52" i="72" s="1"/>
  <c r="A108" i="72" s="1"/>
  <c r="A146" i="53"/>
  <c r="A213" i="53"/>
  <c r="E282" i="55"/>
  <c r="A149" i="53"/>
  <c r="A216" i="53"/>
  <c r="E1705" i="95"/>
  <c r="A107" i="81"/>
  <c r="A24" i="53"/>
  <c r="A145" i="53"/>
  <c r="A212" i="53"/>
  <c r="A83" i="53"/>
  <c r="A31" i="72"/>
  <c r="A56" i="72"/>
  <c r="A120" i="72" s="1"/>
  <c r="U1117" i="95"/>
  <c r="A29" i="72"/>
  <c r="A54" i="72"/>
  <c r="A114" i="72" s="1"/>
  <c r="A15" i="72"/>
  <c r="A40" i="72" s="1"/>
  <c r="A66" i="72" s="1"/>
  <c r="A13" i="84"/>
  <c r="A243" i="84"/>
  <c r="A256" i="55"/>
  <c r="E1714" i="95"/>
  <c r="A247" i="55"/>
  <c r="E1770" i="95"/>
  <c r="A248" i="55"/>
  <c r="E1771" i="95"/>
  <c r="B110" i="83"/>
  <c r="D35" i="53"/>
  <c r="D88" i="53"/>
  <c r="A15" i="84"/>
  <c r="A245" i="84"/>
  <c r="F273" i="53"/>
  <c r="D37" i="21"/>
  <c r="E273" i="53"/>
  <c r="C37" i="21"/>
  <c r="H219" i="53"/>
  <c r="H243" i="53"/>
  <c r="F32" i="48"/>
  <c r="G273" i="53"/>
  <c r="E37" i="21"/>
  <c r="A100" i="81"/>
  <c r="A99" i="81"/>
  <c r="A16" i="53"/>
  <c r="A137" i="53"/>
  <c r="A204" i="53"/>
  <c r="A93" i="81"/>
  <c r="A10" i="53"/>
  <c r="A21" i="72"/>
  <c r="A46" i="72" s="1"/>
  <c r="A88" i="72" s="1"/>
  <c r="A20" i="72"/>
  <c r="A45" i="72" s="1"/>
  <c r="A84" i="72" s="1"/>
  <c r="A103" i="81"/>
  <c r="A20" i="53"/>
  <c r="A73" i="53"/>
  <c r="A165" i="53"/>
  <c r="A232" i="53"/>
  <c r="A24" i="72"/>
  <c r="A49" i="72" s="1"/>
  <c r="A14" i="72"/>
  <c r="A39" i="72" s="1"/>
  <c r="A63" i="72" s="1"/>
  <c r="A109" i="81"/>
  <c r="A27" i="53"/>
  <c r="A30" i="72"/>
  <c r="A55" i="72"/>
  <c r="A117" i="72" s="1"/>
  <c r="A128" i="83"/>
  <c r="A53" i="53"/>
  <c r="A174" i="53"/>
  <c r="A18" i="72"/>
  <c r="A43" i="72" s="1"/>
  <c r="A78" i="72" s="1"/>
  <c r="E45" i="42"/>
  <c r="E47" i="42"/>
  <c r="H214" i="53"/>
  <c r="H265" i="53"/>
  <c r="A13" i="72"/>
  <c r="A38" i="72" s="1"/>
  <c r="A59" i="72" s="1"/>
  <c r="H205" i="53"/>
  <c r="A25" i="84"/>
  <c r="A255" i="84"/>
  <c r="A92" i="81"/>
  <c r="A9" i="53"/>
  <c r="A62" i="53"/>
  <c r="H268" i="53"/>
  <c r="A108" i="53"/>
  <c r="A97" i="81"/>
  <c r="A14" i="53"/>
  <c r="A135" i="53"/>
  <c r="A202" i="53"/>
  <c r="G174" i="55"/>
  <c r="E1701" i="95"/>
  <c r="E1708" i="95"/>
  <c r="E1707" i="95"/>
  <c r="A102" i="81"/>
  <c r="A19" i="53"/>
  <c r="E364" i="95"/>
  <c r="A98" i="81"/>
  <c r="A15" i="53"/>
  <c r="E360" i="95"/>
  <c r="V1383" i="95"/>
  <c r="E1699" i="95"/>
  <c r="A25" i="72"/>
  <c r="A50" i="72" s="1"/>
  <c r="A102" i="72" s="1"/>
  <c r="E366" i="95"/>
  <c r="A104" i="81"/>
  <c r="A21" i="53"/>
  <c r="E1700" i="95"/>
  <c r="E1709" i="95"/>
  <c r="E1706" i="95"/>
  <c r="H31" i="48"/>
  <c r="F31" i="48"/>
  <c r="E1703" i="95"/>
  <c r="F260" i="55"/>
  <c r="F261" i="55"/>
  <c r="F276" i="55"/>
  <c r="A26" i="72"/>
  <c r="A51" i="72" s="1"/>
  <c r="A105" i="72" s="1"/>
  <c r="A105" i="81"/>
  <c r="A22" i="53"/>
  <c r="E9" i="42"/>
  <c r="H267" i="53"/>
  <c r="H266" i="53"/>
  <c r="D45" i="42"/>
  <c r="D47" i="42"/>
  <c r="B129" i="83"/>
  <c r="D54" i="53"/>
  <c r="D107" i="53"/>
  <c r="G143" i="55"/>
  <c r="G191" i="55" s="1"/>
  <c r="E143" i="55"/>
  <c r="F143" i="55"/>
  <c r="F191" i="55" s="1"/>
  <c r="H32" i="48"/>
  <c r="D143" i="55"/>
  <c r="D191" i="55" s="1"/>
  <c r="F20" i="83"/>
  <c r="H20" i="83"/>
  <c r="B114" i="83"/>
  <c r="F18" i="83"/>
  <c r="H18" i="83"/>
  <c r="B52" i="83"/>
  <c r="B112" i="83"/>
  <c r="G44" i="48"/>
  <c r="H44" i="48"/>
  <c r="I44" i="48"/>
  <c r="A125" i="83"/>
  <c r="A50" i="53"/>
  <c r="A30" i="84"/>
  <c r="A260" i="84"/>
  <c r="A102" i="53"/>
  <c r="A170" i="53"/>
  <c r="A237" i="53"/>
  <c r="G42" i="84"/>
  <c r="F22" i="83"/>
  <c r="H22" i="83"/>
  <c r="B116" i="83"/>
  <c r="B130" i="83"/>
  <c r="E30" i="53"/>
  <c r="E83" i="53"/>
  <c r="D113" i="81"/>
  <c r="B50" i="83"/>
  <c r="I34" i="48"/>
  <c r="I38" i="48"/>
  <c r="J23" i="48"/>
  <c r="J29" i="48"/>
  <c r="I35" i="48"/>
  <c r="I31" i="48"/>
  <c r="I36" i="48"/>
  <c r="I33" i="48"/>
  <c r="I37" i="48"/>
  <c r="I52" i="48"/>
  <c r="I56" i="48"/>
  <c r="E36" i="21"/>
  <c r="I32" i="48"/>
  <c r="A175" i="53"/>
  <c r="A239" i="53"/>
  <c r="A107" i="53"/>
  <c r="A126" i="83"/>
  <c r="A51" i="53"/>
  <c r="A31" i="84"/>
  <c r="A118" i="83"/>
  <c r="A43" i="53"/>
  <c r="A23" i="84"/>
  <c r="A253" i="84"/>
  <c r="B109" i="83"/>
  <c r="F15" i="83"/>
  <c r="H15" i="83"/>
  <c r="F14" i="83"/>
  <c r="H14" i="83"/>
  <c r="B108" i="83"/>
  <c r="O14" i="83"/>
  <c r="Q14" i="83"/>
  <c r="P14" i="83"/>
  <c r="N14" i="83"/>
  <c r="M14" i="83"/>
  <c r="B113" i="83"/>
  <c r="F19" i="83"/>
  <c r="H19" i="83"/>
  <c r="H17" i="42"/>
  <c r="G37" i="42"/>
  <c r="G43" i="42"/>
  <c r="E35" i="21"/>
  <c r="G198" i="84"/>
  <c r="F293" i="84"/>
  <c r="F297" i="84"/>
  <c r="A178" i="53"/>
  <c r="A242" i="53"/>
  <c r="A110" i="53"/>
  <c r="A162" i="53"/>
  <c r="A229" i="53"/>
  <c r="A94" i="53"/>
  <c r="A127" i="83"/>
  <c r="A52" i="53"/>
  <c r="A32" i="84"/>
  <c r="A95" i="81"/>
  <c r="A12" i="53"/>
  <c r="A16" i="72"/>
  <c r="A41" i="72" s="1"/>
  <c r="A70" i="72" s="1"/>
  <c r="A132" i="53"/>
  <c r="A199" i="53"/>
  <c r="A64" i="53"/>
  <c r="F21" i="83"/>
  <c r="H21" i="83"/>
  <c r="B115" i="83"/>
  <c r="D30" i="83"/>
  <c r="D29" i="83"/>
  <c r="F29" i="83"/>
  <c r="H29" i="83"/>
  <c r="D26" i="83"/>
  <c r="D27" i="83"/>
  <c r="D28" i="83"/>
  <c r="F28" i="83"/>
  <c r="H28" i="83"/>
  <c r="D31" i="83"/>
  <c r="D25" i="83"/>
  <c r="A161" i="53"/>
  <c r="A228" i="53"/>
  <c r="A93" i="53"/>
  <c r="A109" i="83"/>
  <c r="A34" i="53"/>
  <c r="A14" i="84"/>
  <c r="A244" i="84"/>
  <c r="A17" i="72"/>
  <c r="A42" i="72" s="1"/>
  <c r="A73" i="72" s="1"/>
  <c r="A96" i="81"/>
  <c r="A13" i="53"/>
  <c r="A16" i="84"/>
  <c r="A246" i="84"/>
  <c r="A111" i="83"/>
  <c r="A36" i="53"/>
  <c r="A101" i="81"/>
  <c r="A18" i="53"/>
  <c r="A22" i="72"/>
  <c r="A47" i="72"/>
  <c r="A19" i="84"/>
  <c r="A249" i="84"/>
  <c r="A114" i="83"/>
  <c r="A39" i="53"/>
  <c r="I205" i="53"/>
  <c r="J124" i="53"/>
  <c r="I214" i="53"/>
  <c r="I266" i="53"/>
  <c r="I267" i="53"/>
  <c r="I265" i="53"/>
  <c r="I268" i="53"/>
  <c r="I243" i="53"/>
  <c r="F17" i="83"/>
  <c r="H17" i="83"/>
  <c r="B111" i="83"/>
  <c r="B131" i="83"/>
  <c r="F29" i="48"/>
  <c r="G29" i="48"/>
  <c r="H29" i="48"/>
  <c r="I29" i="48"/>
  <c r="A27" i="84"/>
  <c r="A257" i="84"/>
  <c r="A122" i="83"/>
  <c r="A47" i="53"/>
  <c r="E35" i="29"/>
  <c r="A98" i="53"/>
  <c r="G236" i="55"/>
  <c r="A88" i="53"/>
  <c r="C38" i="21"/>
  <c r="C73" i="83"/>
  <c r="D38" i="84"/>
  <c r="C14" i="91"/>
  <c r="G295" i="84"/>
  <c r="G277" i="84"/>
  <c r="G296" i="84"/>
  <c r="G299" i="84"/>
  <c r="G292" i="84"/>
  <c r="G294" i="84"/>
  <c r="F5" i="120"/>
  <c r="B103" i="83"/>
  <c r="A263" i="84"/>
  <c r="E1745" i="95"/>
  <c r="B48" i="83"/>
  <c r="A154" i="53"/>
  <c r="A221" i="53"/>
  <c r="I28" i="48"/>
  <c r="I39" i="48"/>
  <c r="H28" i="48"/>
  <c r="H39" i="48"/>
  <c r="G39" i="48"/>
  <c r="E1713" i="95"/>
  <c r="E1772" i="95"/>
  <c r="C18" i="68"/>
  <c r="C16" i="68"/>
  <c r="E1784" i="95"/>
  <c r="E1735" i="95"/>
  <c r="E1726" i="95"/>
  <c r="E1775" i="95"/>
  <c r="E1791" i="95"/>
  <c r="E1742" i="95"/>
  <c r="E1780" i="95"/>
  <c r="E1731" i="95"/>
  <c r="E1777" i="95"/>
  <c r="E1728" i="95"/>
  <c r="E1725" i="95"/>
  <c r="E1774" i="95"/>
  <c r="E1786" i="95"/>
  <c r="E1737" i="95"/>
  <c r="E1788" i="95"/>
  <c r="E1739" i="95"/>
  <c r="E1776" i="95"/>
  <c r="E1727" i="95"/>
  <c r="AN1285" i="95"/>
  <c r="B102" i="83"/>
  <c r="D37" i="84"/>
  <c r="B101" i="83"/>
  <c r="D36" i="84"/>
  <c r="B80" i="83"/>
  <c r="D15" i="84"/>
  <c r="B48" i="84"/>
  <c r="G298" i="84"/>
  <c r="B100" i="83"/>
  <c r="D35" i="84"/>
  <c r="B64" i="84"/>
  <c r="A222" i="84"/>
  <c r="A262" i="84"/>
  <c r="A221" i="84"/>
  <c r="A261" i="84"/>
  <c r="A58" i="84"/>
  <c r="A116" i="84"/>
  <c r="A215" i="84"/>
  <c r="A56" i="84"/>
  <c r="A108" i="84"/>
  <c r="A213" i="84"/>
  <c r="A47" i="84"/>
  <c r="A73" i="84"/>
  <c r="A204" i="84"/>
  <c r="A48" i="84"/>
  <c r="A77" i="84"/>
  <c r="A205" i="84"/>
  <c r="A60" i="84"/>
  <c r="A121" i="84"/>
  <c r="A217" i="84"/>
  <c r="A52" i="84"/>
  <c r="A93" i="84"/>
  <c r="A209" i="84"/>
  <c r="A49" i="84"/>
  <c r="A81" i="84"/>
  <c r="A206" i="84"/>
  <c r="A63" i="84"/>
  <c r="A124" i="84"/>
  <c r="A220" i="84"/>
  <c r="A46" i="84"/>
  <c r="A69" i="84"/>
  <c r="A203" i="84"/>
  <c r="AC698" i="95"/>
  <c r="B74" i="83"/>
  <c r="C133" i="83"/>
  <c r="D133" i="83"/>
  <c r="G275" i="55"/>
  <c r="A77" i="53"/>
  <c r="F282" i="55"/>
  <c r="M16" i="83"/>
  <c r="M17" i="83"/>
  <c r="AC697" i="95"/>
  <c r="C110" i="83"/>
  <c r="D110" i="83"/>
  <c r="A106" i="53"/>
  <c r="A141" i="53"/>
  <c r="A208" i="53"/>
  <c r="C129" i="83"/>
  <c r="E54" i="53"/>
  <c r="E107" i="53"/>
  <c r="A69" i="53"/>
  <c r="G260" i="55"/>
  <c r="A63" i="53"/>
  <c r="A131" i="53"/>
  <c r="A198" i="53"/>
  <c r="A130" i="53"/>
  <c r="A197" i="53"/>
  <c r="F304" i="84"/>
  <c r="D38" i="21"/>
  <c r="H273" i="53"/>
  <c r="F37" i="21"/>
  <c r="A67" i="53"/>
  <c r="A148" i="53"/>
  <c r="A215" i="53"/>
  <c r="A80" i="53"/>
  <c r="G261" i="55"/>
  <c r="H174" i="55"/>
  <c r="C23" i="21"/>
  <c r="G276" i="55"/>
  <c r="M1404" i="95"/>
  <c r="U1404" i="95"/>
  <c r="V1378" i="95"/>
  <c r="A68" i="53"/>
  <c r="A136" i="53"/>
  <c r="A203" i="53"/>
  <c r="A142" i="53"/>
  <c r="A209" i="53"/>
  <c r="A74" i="53"/>
  <c r="A140" i="53"/>
  <c r="A207" i="53"/>
  <c r="A72" i="53"/>
  <c r="F9" i="42"/>
  <c r="A75" i="53"/>
  <c r="A143" i="53"/>
  <c r="A210" i="53"/>
  <c r="F7" i="62"/>
  <c r="J43" i="48"/>
  <c r="J44" i="48"/>
  <c r="H43" i="48"/>
  <c r="I43" i="48"/>
  <c r="A92" i="72"/>
  <c r="D94" i="81"/>
  <c r="E94" i="81" s="1"/>
  <c r="G11" i="53" s="1"/>
  <c r="G64" i="53" s="1"/>
  <c r="G43" i="48"/>
  <c r="D39" i="53"/>
  <c r="D92" i="53"/>
  <c r="C114" i="83"/>
  <c r="B54" i="83"/>
  <c r="D56" i="53"/>
  <c r="D109" i="53"/>
  <c r="C131" i="83"/>
  <c r="J214" i="53"/>
  <c r="J243" i="53"/>
  <c r="J205" i="53"/>
  <c r="J268" i="53"/>
  <c r="J266" i="53"/>
  <c r="J265" i="53"/>
  <c r="J267" i="53"/>
  <c r="A66" i="53"/>
  <c r="A134" i="53"/>
  <c r="A201" i="53"/>
  <c r="D239" i="53"/>
  <c r="F25" i="83"/>
  <c r="H25" i="83"/>
  <c r="B118" i="83"/>
  <c r="F27" i="83"/>
  <c r="H27" i="83"/>
  <c r="B120" i="83"/>
  <c r="D40" i="53"/>
  <c r="D93" i="53"/>
  <c r="C115" i="83"/>
  <c r="D38" i="53"/>
  <c r="D91" i="53"/>
  <c r="C113" i="83"/>
  <c r="B49" i="83"/>
  <c r="A96" i="53"/>
  <c r="A164" i="53"/>
  <c r="A231" i="53"/>
  <c r="F30" i="53"/>
  <c r="F83" i="53"/>
  <c r="E113" i="81"/>
  <c r="B56" i="83"/>
  <c r="B86" i="83"/>
  <c r="A100" i="53"/>
  <c r="A168" i="53"/>
  <c r="A235" i="53"/>
  <c r="D36" i="53"/>
  <c r="D89" i="53"/>
  <c r="C111" i="83"/>
  <c r="B126" i="83"/>
  <c r="F34" i="83"/>
  <c r="H34" i="83"/>
  <c r="A92" i="53"/>
  <c r="A160" i="53"/>
  <c r="A227" i="53"/>
  <c r="D114" i="55"/>
  <c r="C70" i="83"/>
  <c r="E35" i="84"/>
  <c r="B124" i="83"/>
  <c r="F31" i="83"/>
  <c r="H31" i="83"/>
  <c r="B119" i="83"/>
  <c r="F26" i="83"/>
  <c r="H26" i="83"/>
  <c r="B55" i="83"/>
  <c r="H198" i="84"/>
  <c r="G293" i="84"/>
  <c r="G297" i="84"/>
  <c r="D34" i="53"/>
  <c r="D87" i="53"/>
  <c r="C109" i="83"/>
  <c r="E218" i="53"/>
  <c r="D55" i="53"/>
  <c r="D108" i="53"/>
  <c r="C130" i="83"/>
  <c r="D37" i="53"/>
  <c r="D90" i="53"/>
  <c r="C112" i="83"/>
  <c r="B121" i="83"/>
  <c r="B122" i="83"/>
  <c r="C108" i="83"/>
  <c r="D33" i="53"/>
  <c r="D86" i="53"/>
  <c r="A104" i="53"/>
  <c r="A172" i="53"/>
  <c r="K23" i="48"/>
  <c r="J28" i="48"/>
  <c r="J36" i="48"/>
  <c r="J30" i="48"/>
  <c r="J35" i="48"/>
  <c r="J31" i="48"/>
  <c r="J37" i="48"/>
  <c r="J52" i="48"/>
  <c r="J56" i="48"/>
  <c r="F36" i="21"/>
  <c r="J34" i="48"/>
  <c r="J38" i="48"/>
  <c r="J33" i="48"/>
  <c r="J32" i="48"/>
  <c r="D95" i="55"/>
  <c r="C50" i="83"/>
  <c r="E15" i="84"/>
  <c r="A103" i="53"/>
  <c r="A171" i="53"/>
  <c r="A238" i="53"/>
  <c r="D223" i="53"/>
  <c r="F33" i="83"/>
  <c r="H33" i="83"/>
  <c r="B125" i="83"/>
  <c r="B51" i="83"/>
  <c r="B127" i="83"/>
  <c r="A71" i="53"/>
  <c r="A139" i="53"/>
  <c r="A206" i="53"/>
  <c r="B128" i="83"/>
  <c r="I273" i="53"/>
  <c r="G37" i="21"/>
  <c r="A157" i="53"/>
  <c r="A224" i="53"/>
  <c r="A89" i="53"/>
  <c r="A155" i="53"/>
  <c r="A222" i="53"/>
  <c r="A87" i="53"/>
  <c r="D242" i="53"/>
  <c r="B117" i="83"/>
  <c r="F24" i="83"/>
  <c r="H24" i="83"/>
  <c r="B57" i="83"/>
  <c r="F30" i="83"/>
  <c r="H30" i="83"/>
  <c r="B123" i="83"/>
  <c r="A65" i="53"/>
  <c r="A133" i="53"/>
  <c r="A200" i="53"/>
  <c r="A173" i="53"/>
  <c r="A105" i="53"/>
  <c r="I17" i="42"/>
  <c r="H37" i="42"/>
  <c r="H43" i="42"/>
  <c r="F35" i="21"/>
  <c r="B53" i="83"/>
  <c r="D23" i="21"/>
  <c r="F45" i="42"/>
  <c r="F47" i="42"/>
  <c r="D41" i="53"/>
  <c r="D94" i="53"/>
  <c r="C116" i="83"/>
  <c r="H42" i="84"/>
  <c r="H236" i="55"/>
  <c r="E1794" i="95"/>
  <c r="D268" i="84"/>
  <c r="C12" i="21"/>
  <c r="E127" i="29" s="1"/>
  <c r="D73" i="83"/>
  <c r="E38" i="84"/>
  <c r="H277" i="84"/>
  <c r="H296" i="84"/>
  <c r="H299" i="84"/>
  <c r="H292" i="84"/>
  <c r="H294" i="84"/>
  <c r="H295" i="84"/>
  <c r="C103" i="83"/>
  <c r="D177" i="84"/>
  <c r="D160" i="84"/>
  <c r="B16" i="108"/>
  <c r="C100" i="83"/>
  <c r="D100" i="83"/>
  <c r="D174" i="84"/>
  <c r="B30" i="108"/>
  <c r="C80" i="83"/>
  <c r="D80" i="83"/>
  <c r="D154" i="84"/>
  <c r="B10" i="108"/>
  <c r="D176" i="84"/>
  <c r="B32" i="108"/>
  <c r="D175" i="84"/>
  <c r="B31" i="108"/>
  <c r="C51" i="81"/>
  <c r="B83" i="83"/>
  <c r="C83" i="83"/>
  <c r="D18" i="84"/>
  <c r="E1793" i="95"/>
  <c r="E1744" i="95"/>
  <c r="B85" i="83"/>
  <c r="C85" i="83"/>
  <c r="D20" i="84"/>
  <c r="B53" i="84"/>
  <c r="E1792" i="95"/>
  <c r="E1743" i="95"/>
  <c r="B84" i="83"/>
  <c r="C84" i="83"/>
  <c r="D19" i="84"/>
  <c r="B52" i="84"/>
  <c r="D267" i="84"/>
  <c r="D266" i="84"/>
  <c r="B81" i="83"/>
  <c r="D16" i="84"/>
  <c r="B49" i="84"/>
  <c r="E245" i="84"/>
  <c r="D245" i="84"/>
  <c r="K698" i="95"/>
  <c r="M698" i="95"/>
  <c r="D14" i="84"/>
  <c r="B47" i="84"/>
  <c r="H298" i="84"/>
  <c r="E57" i="53"/>
  <c r="E110" i="53"/>
  <c r="E242" i="53"/>
  <c r="C74" i="83"/>
  <c r="E39" i="84"/>
  <c r="D39" i="84"/>
  <c r="E265" i="84"/>
  <c r="D265" i="84"/>
  <c r="B82" i="83"/>
  <c r="D17" i="84"/>
  <c r="B50" i="84"/>
  <c r="K697" i="95"/>
  <c r="M697" i="95"/>
  <c r="D13" i="84"/>
  <c r="B46" i="84"/>
  <c r="D117" i="55"/>
  <c r="B104" i="83"/>
  <c r="C104" i="83"/>
  <c r="B79" i="83"/>
  <c r="M24" i="83"/>
  <c r="I45" i="83"/>
  <c r="I44" i="83"/>
  <c r="E35" i="53"/>
  <c r="E88" i="53"/>
  <c r="E223" i="53"/>
  <c r="H275" i="55"/>
  <c r="G282" i="55"/>
  <c r="D20" i="55"/>
  <c r="D78" i="55"/>
  <c r="D129" i="83"/>
  <c r="F54" i="53"/>
  <c r="F107" i="53"/>
  <c r="J57" i="48"/>
  <c r="D12" i="21"/>
  <c r="F143" i="29" s="1"/>
  <c r="H260" i="55"/>
  <c r="H276" i="55"/>
  <c r="H261" i="55"/>
  <c r="I174" i="55"/>
  <c r="F142" i="29"/>
  <c r="F174" i="29"/>
  <c r="F158" i="29"/>
  <c r="F35" i="29"/>
  <c r="F126" i="29"/>
  <c r="G9" i="42"/>
  <c r="C54" i="83"/>
  <c r="E19" i="84"/>
  <c r="D99" i="55"/>
  <c r="D114" i="83"/>
  <c r="E39" i="53"/>
  <c r="E92" i="53"/>
  <c r="D227" i="53"/>
  <c r="B67" i="83"/>
  <c r="D32" i="84"/>
  <c r="C71" i="83"/>
  <c r="E36" i="84"/>
  <c r="D115" i="55"/>
  <c r="D221" i="53"/>
  <c r="E24" i="21"/>
  <c r="I57" i="48"/>
  <c r="I59" i="48"/>
  <c r="B64" i="83"/>
  <c r="B94" i="83"/>
  <c r="B66" i="83"/>
  <c r="B58" i="83"/>
  <c r="D170" i="55"/>
  <c r="D259" i="55"/>
  <c r="H57" i="48"/>
  <c r="H59" i="48"/>
  <c r="D24" i="21"/>
  <c r="B62" i="83"/>
  <c r="C48" i="84"/>
  <c r="I198" i="84"/>
  <c r="H297" i="84"/>
  <c r="H293" i="84"/>
  <c r="C55" i="83"/>
  <c r="E20" i="84"/>
  <c r="D100" i="55"/>
  <c r="D51" i="53"/>
  <c r="D104" i="53"/>
  <c r="C126" i="83"/>
  <c r="F218" i="53"/>
  <c r="J17" i="42"/>
  <c r="I37" i="42"/>
  <c r="I43" i="42"/>
  <c r="G35" i="21"/>
  <c r="D97" i="55"/>
  <c r="C52" i="83"/>
  <c r="E17" i="84"/>
  <c r="D108" i="83"/>
  <c r="E33" i="53"/>
  <c r="E86" i="53"/>
  <c r="D49" i="53"/>
  <c r="D102" i="53"/>
  <c r="C124" i="83"/>
  <c r="E12" i="21"/>
  <c r="G175" i="29" s="1"/>
  <c r="C48" i="83"/>
  <c r="B65" i="83"/>
  <c r="G57" i="48"/>
  <c r="G59" i="48"/>
  <c r="C24" i="21"/>
  <c r="D50" i="83"/>
  <c r="F15" i="84"/>
  <c r="E95" i="55"/>
  <c r="J39" i="48"/>
  <c r="D46" i="53"/>
  <c r="D99" i="53"/>
  <c r="C121" i="83"/>
  <c r="D112" i="83"/>
  <c r="E37" i="53"/>
  <c r="E90" i="53"/>
  <c r="E110" i="83"/>
  <c r="F35" i="53"/>
  <c r="F88" i="53"/>
  <c r="D222" i="53"/>
  <c r="G304" i="84"/>
  <c r="E38" i="21"/>
  <c r="B59" i="83"/>
  <c r="D70" i="83"/>
  <c r="F35" i="84"/>
  <c r="E114" i="55"/>
  <c r="D111" i="83"/>
  <c r="E36" i="53"/>
  <c r="E89" i="53"/>
  <c r="D113" i="83"/>
  <c r="E38" i="53"/>
  <c r="E91" i="53"/>
  <c r="B60" i="83"/>
  <c r="D229" i="53"/>
  <c r="B63" i="83"/>
  <c r="B93" i="83"/>
  <c r="D53" i="53"/>
  <c r="D106" i="53"/>
  <c r="C128" i="83"/>
  <c r="D275" i="84"/>
  <c r="B127" i="84"/>
  <c r="B126" i="84"/>
  <c r="B128" i="84"/>
  <c r="E117" i="55"/>
  <c r="D47" i="53"/>
  <c r="D100" i="53"/>
  <c r="C122" i="83"/>
  <c r="E55" i="53"/>
  <c r="E108" i="53"/>
  <c r="D130" i="83"/>
  <c r="D21" i="84"/>
  <c r="C86" i="83"/>
  <c r="F113" i="81"/>
  <c r="G30" i="53"/>
  <c r="G83" i="53"/>
  <c r="D228" i="53"/>
  <c r="D241" i="53"/>
  <c r="F57" i="48"/>
  <c r="F59" i="48"/>
  <c r="B66" i="84"/>
  <c r="C102" i="83"/>
  <c r="D52" i="53"/>
  <c r="D105" i="53"/>
  <c r="C127" i="83"/>
  <c r="D50" i="53"/>
  <c r="D103" i="53"/>
  <c r="C125" i="83"/>
  <c r="E23" i="21"/>
  <c r="G45" i="42"/>
  <c r="G47" i="42"/>
  <c r="D240" i="53"/>
  <c r="D109" i="83"/>
  <c r="E34" i="53"/>
  <c r="E87" i="53"/>
  <c r="D101" i="55"/>
  <c r="C56" i="83"/>
  <c r="D45" i="53"/>
  <c r="D98" i="53"/>
  <c r="C120" i="83"/>
  <c r="B51" i="84"/>
  <c r="D42" i="53"/>
  <c r="D95" i="53"/>
  <c r="C117" i="83"/>
  <c r="D116" i="55"/>
  <c r="C72" i="83"/>
  <c r="E37" i="84"/>
  <c r="D116" i="83"/>
  <c r="E41" i="53"/>
  <c r="E94" i="53"/>
  <c r="D98" i="55"/>
  <c r="C53" i="83"/>
  <c r="E18" i="84"/>
  <c r="D48" i="53"/>
  <c r="D101" i="53"/>
  <c r="C123" i="83"/>
  <c r="E239" i="53"/>
  <c r="B68" i="83"/>
  <c r="D33" i="84"/>
  <c r="F57" i="53"/>
  <c r="F110" i="53"/>
  <c r="E133" i="83"/>
  <c r="C64" i="84"/>
  <c r="C51" i="83"/>
  <c r="E16" i="84"/>
  <c r="D96" i="55"/>
  <c r="B65" i="84"/>
  <c r="C101" i="83"/>
  <c r="D148" i="55"/>
  <c r="D240" i="55"/>
  <c r="L23" i="48"/>
  <c r="K34" i="48"/>
  <c r="K38" i="48"/>
  <c r="K52" i="48"/>
  <c r="K56" i="48"/>
  <c r="G36" i="21"/>
  <c r="K32" i="48"/>
  <c r="K37" i="48"/>
  <c r="K28" i="48"/>
  <c r="K33" i="48"/>
  <c r="K36" i="48"/>
  <c r="K31" i="48"/>
  <c r="K35" i="48"/>
  <c r="K30" i="48"/>
  <c r="K29" i="48"/>
  <c r="K43" i="48"/>
  <c r="K44" i="48"/>
  <c r="B61" i="83"/>
  <c r="D225" i="53"/>
  <c r="D44" i="53"/>
  <c r="D97" i="53"/>
  <c r="C119" i="83"/>
  <c r="D256" i="55"/>
  <c r="D167" i="55"/>
  <c r="D224" i="53"/>
  <c r="D94" i="55"/>
  <c r="C49" i="83"/>
  <c r="D226" i="53"/>
  <c r="D115" i="83"/>
  <c r="E40" i="53"/>
  <c r="E93" i="53"/>
  <c r="D43" i="53"/>
  <c r="D96" i="53"/>
  <c r="C118" i="83"/>
  <c r="J273" i="53"/>
  <c r="H37" i="21"/>
  <c r="D131" i="83"/>
  <c r="E56" i="53"/>
  <c r="E109" i="53"/>
  <c r="I236" i="55"/>
  <c r="I299" i="84"/>
  <c r="I292" i="84"/>
  <c r="I294" i="84"/>
  <c r="I295" i="84"/>
  <c r="I277" i="84"/>
  <c r="I296" i="84"/>
  <c r="D103" i="83"/>
  <c r="E177" i="84"/>
  <c r="E268" i="84"/>
  <c r="E73" i="83"/>
  <c r="F38" i="84"/>
  <c r="E157" i="84"/>
  <c r="C13" i="108"/>
  <c r="E160" i="84"/>
  <c r="C16" i="108"/>
  <c r="D167" i="84"/>
  <c r="B23" i="108"/>
  <c r="E158" i="84"/>
  <c r="C14" i="108"/>
  <c r="D178" i="84"/>
  <c r="B33" i="108"/>
  <c r="E176" i="84"/>
  <c r="C32" i="108"/>
  <c r="E174" i="84"/>
  <c r="C30" i="108"/>
  <c r="E159" i="84"/>
  <c r="C15" i="108"/>
  <c r="D104" i="83"/>
  <c r="E104" i="83"/>
  <c r="E178" i="84"/>
  <c r="C33" i="108"/>
  <c r="F174" i="84"/>
  <c r="D30" i="108"/>
  <c r="C82" i="83"/>
  <c r="D82" i="83"/>
  <c r="D156" i="84"/>
  <c r="B12" i="108"/>
  <c r="D158" i="84"/>
  <c r="B14" i="108"/>
  <c r="D159" i="84"/>
  <c r="B15" i="108"/>
  <c r="D157" i="84"/>
  <c r="B13" i="108"/>
  <c r="E154" i="84"/>
  <c r="C10" i="108"/>
  <c r="E175" i="84"/>
  <c r="C31" i="108"/>
  <c r="F154" i="84"/>
  <c r="D10" i="108"/>
  <c r="D168" i="84"/>
  <c r="B24" i="108"/>
  <c r="C79" i="83"/>
  <c r="D79" i="83"/>
  <c r="D153" i="84"/>
  <c r="B9" i="108"/>
  <c r="C81" i="83"/>
  <c r="D81" i="83"/>
  <c r="D155" i="84"/>
  <c r="B11" i="108"/>
  <c r="C78" i="83"/>
  <c r="B8" i="108"/>
  <c r="D74" i="83"/>
  <c r="F39" i="84"/>
  <c r="F269" i="84"/>
  <c r="D51" i="81"/>
  <c r="B89" i="83"/>
  <c r="C89" i="83"/>
  <c r="D24" i="84"/>
  <c r="B57" i="84"/>
  <c r="E250" i="84"/>
  <c r="B67" i="84"/>
  <c r="B92" i="83"/>
  <c r="D27" i="84"/>
  <c r="B91" i="83"/>
  <c r="C91" i="83"/>
  <c r="D26" i="84"/>
  <c r="B59" i="84"/>
  <c r="D263" i="84"/>
  <c r="E248" i="84"/>
  <c r="B95" i="83"/>
  <c r="C95" i="83"/>
  <c r="D30" i="84"/>
  <c r="B63" i="84"/>
  <c r="C66" i="83"/>
  <c r="D31" i="84"/>
  <c r="D127" i="29"/>
  <c r="D249" i="84"/>
  <c r="D250" i="84"/>
  <c r="D248" i="84"/>
  <c r="B88" i="83"/>
  <c r="C88" i="83"/>
  <c r="D23" i="84"/>
  <c r="B90" i="83"/>
  <c r="D25" i="84"/>
  <c r="B58" i="84"/>
  <c r="D262" i="84"/>
  <c r="E249" i="84"/>
  <c r="E267" i="84"/>
  <c r="E266" i="84"/>
  <c r="D246" i="84"/>
  <c r="E246" i="84"/>
  <c r="F245" i="84"/>
  <c r="N698" i="95"/>
  <c r="P698" i="95"/>
  <c r="E14" i="84"/>
  <c r="D244" i="84"/>
  <c r="I298" i="84"/>
  <c r="D269" i="84"/>
  <c r="E269" i="84"/>
  <c r="F265" i="84"/>
  <c r="B17" i="108"/>
  <c r="D22" i="84"/>
  <c r="B55" i="84"/>
  <c r="E247" i="84"/>
  <c r="D247" i="84"/>
  <c r="N697" i="95"/>
  <c r="P697" i="95"/>
  <c r="E13" i="84"/>
  <c r="C46" i="84"/>
  <c r="D243" i="84"/>
  <c r="M13" i="84"/>
  <c r="B54" i="84"/>
  <c r="B143" i="84"/>
  <c r="B144" i="84"/>
  <c r="B145" i="84"/>
  <c r="C68" i="83"/>
  <c r="B98" i="83"/>
  <c r="B96" i="83"/>
  <c r="C96" i="83"/>
  <c r="J45" i="83"/>
  <c r="L45" i="83"/>
  <c r="L46" i="83"/>
  <c r="C67" i="83"/>
  <c r="B97" i="83"/>
  <c r="D78" i="83"/>
  <c r="H282" i="55"/>
  <c r="I275" i="55"/>
  <c r="E129" i="83"/>
  <c r="F129" i="83"/>
  <c r="F24" i="21"/>
  <c r="F127" i="29"/>
  <c r="F159" i="29"/>
  <c r="G126" i="29"/>
  <c r="D175" i="29"/>
  <c r="D143" i="29"/>
  <c r="C67" i="84"/>
  <c r="D159" i="29"/>
  <c r="D36" i="29"/>
  <c r="G174" i="29"/>
  <c r="J174" i="55"/>
  <c r="I260" i="55"/>
  <c r="I261" i="55"/>
  <c r="I276" i="55"/>
  <c r="J24" i="21"/>
  <c r="H9" i="42"/>
  <c r="C52" i="84"/>
  <c r="D84" i="83"/>
  <c r="E227" i="53"/>
  <c r="D244" i="55"/>
  <c r="D152" i="55"/>
  <c r="E114" i="83"/>
  <c r="F39" i="53"/>
  <c r="F92" i="53"/>
  <c r="D54" i="83"/>
  <c r="F19" i="84"/>
  <c r="E99" i="55"/>
  <c r="E115" i="83"/>
  <c r="F40" i="53"/>
  <c r="F93" i="53"/>
  <c r="D119" i="83"/>
  <c r="E44" i="53"/>
  <c r="E97" i="53"/>
  <c r="D106" i="55"/>
  <c r="C61" i="83"/>
  <c r="E26" i="84"/>
  <c r="K39" i="48"/>
  <c r="F242" i="53"/>
  <c r="D72" i="83"/>
  <c r="F37" i="84"/>
  <c r="E116" i="55"/>
  <c r="D83" i="83"/>
  <c r="C51" i="84"/>
  <c r="D246" i="55"/>
  <c r="D154" i="55"/>
  <c r="D238" i="53"/>
  <c r="D235" i="53"/>
  <c r="C50" i="84"/>
  <c r="E259" i="55"/>
  <c r="E170" i="55"/>
  <c r="C63" i="83"/>
  <c r="D108" i="55"/>
  <c r="E112" i="83"/>
  <c r="F37" i="53"/>
  <c r="F90" i="53"/>
  <c r="E240" i="55"/>
  <c r="E148" i="55"/>
  <c r="D110" i="55"/>
  <c r="C65" i="83"/>
  <c r="E30" i="84"/>
  <c r="F239" i="53"/>
  <c r="D48" i="83"/>
  <c r="D150" i="55"/>
  <c r="D242" i="55"/>
  <c r="E51" i="53"/>
  <c r="E104" i="53"/>
  <c r="D126" i="83"/>
  <c r="D245" i="55"/>
  <c r="D153" i="55"/>
  <c r="D107" i="55"/>
  <c r="C62" i="83"/>
  <c r="E27" i="84"/>
  <c r="H35" i="29"/>
  <c r="H142" i="29"/>
  <c r="H126" i="29"/>
  <c r="H158" i="29"/>
  <c r="H174" i="29"/>
  <c r="D103" i="55"/>
  <c r="C58" i="83"/>
  <c r="E23" i="84"/>
  <c r="D29" i="84"/>
  <c r="C94" i="83"/>
  <c r="D168" i="55"/>
  <c r="D257" i="55"/>
  <c r="E241" i="53"/>
  <c r="E43" i="53"/>
  <c r="E96" i="53"/>
  <c r="D118" i="83"/>
  <c r="D49" i="83"/>
  <c r="E94" i="55"/>
  <c r="D232" i="53"/>
  <c r="D101" i="83"/>
  <c r="C65" i="84"/>
  <c r="C126" i="84"/>
  <c r="C128" i="84"/>
  <c r="C127" i="84"/>
  <c r="E275" i="84"/>
  <c r="D123" i="83"/>
  <c r="E48" i="53"/>
  <c r="E101" i="53"/>
  <c r="D169" i="55"/>
  <c r="D258" i="55"/>
  <c r="D120" i="83"/>
  <c r="E45" i="53"/>
  <c r="E98" i="53"/>
  <c r="D102" i="55"/>
  <c r="C57" i="83"/>
  <c r="E22" i="84"/>
  <c r="G218" i="53"/>
  <c r="D85" i="83"/>
  <c r="C53" i="84"/>
  <c r="E130" i="83"/>
  <c r="F55" i="53"/>
  <c r="F108" i="53"/>
  <c r="F117" i="55"/>
  <c r="D105" i="55"/>
  <c r="C60" i="83"/>
  <c r="E25" i="84"/>
  <c r="F223" i="53"/>
  <c r="D121" i="83"/>
  <c r="E46" i="53"/>
  <c r="E99" i="53"/>
  <c r="F95" i="55"/>
  <c r="E50" i="83"/>
  <c r="G15" i="84"/>
  <c r="D93" i="55"/>
  <c r="E221" i="53"/>
  <c r="E100" i="55"/>
  <c r="D55" i="83"/>
  <c r="F20" i="84"/>
  <c r="J198" i="84"/>
  <c r="I293" i="84"/>
  <c r="I297" i="84"/>
  <c r="C92" i="83"/>
  <c r="C64" i="83"/>
  <c r="D109" i="55"/>
  <c r="D71" i="83"/>
  <c r="F36" i="84"/>
  <c r="E115" i="55"/>
  <c r="E131" i="83"/>
  <c r="F56" i="53"/>
  <c r="F109" i="53"/>
  <c r="D231" i="53"/>
  <c r="D239" i="55"/>
  <c r="D147" i="55"/>
  <c r="L28" i="48"/>
  <c r="L36" i="48"/>
  <c r="L33" i="48"/>
  <c r="L38" i="48"/>
  <c r="L34" i="48"/>
  <c r="L30" i="48"/>
  <c r="L31" i="48"/>
  <c r="L35" i="48"/>
  <c r="L37" i="48"/>
  <c r="L52" i="48"/>
  <c r="L56" i="48"/>
  <c r="H36" i="21"/>
  <c r="L32" i="48"/>
  <c r="L43" i="48"/>
  <c r="L44" i="48"/>
  <c r="L29" i="48"/>
  <c r="D149" i="55"/>
  <c r="D241" i="55"/>
  <c r="D64" i="84"/>
  <c r="E100" i="83"/>
  <c r="D131" i="55"/>
  <c r="D236" i="53"/>
  <c r="D53" i="83"/>
  <c r="F18" i="84"/>
  <c r="E98" i="55"/>
  <c r="E229" i="53"/>
  <c r="D117" i="83"/>
  <c r="E42" i="53"/>
  <c r="E95" i="53"/>
  <c r="D233" i="53"/>
  <c r="E222" i="53"/>
  <c r="E52" i="53"/>
  <c r="E105" i="53"/>
  <c r="D127" i="83"/>
  <c r="C87" i="83"/>
  <c r="G113" i="81"/>
  <c r="H30" i="53"/>
  <c r="H83" i="53"/>
  <c r="E240" i="53"/>
  <c r="E53" i="53"/>
  <c r="E106" i="53"/>
  <c r="D128" i="83"/>
  <c r="E226" i="53"/>
  <c r="E224" i="53"/>
  <c r="E256" i="55"/>
  <c r="E167" i="55"/>
  <c r="F110" i="83"/>
  <c r="G35" i="53"/>
  <c r="G88" i="53"/>
  <c r="D234" i="53"/>
  <c r="C49" i="84"/>
  <c r="D124" i="83"/>
  <c r="E49" i="53"/>
  <c r="E102" i="53"/>
  <c r="F33" i="53"/>
  <c r="F86" i="53"/>
  <c r="E108" i="83"/>
  <c r="H304" i="84"/>
  <c r="F38" i="21"/>
  <c r="E80" i="83"/>
  <c r="D48" i="84"/>
  <c r="E228" i="53"/>
  <c r="D51" i="83"/>
  <c r="F16" i="84"/>
  <c r="E96" i="55"/>
  <c r="F133" i="83"/>
  <c r="G57" i="53"/>
  <c r="G110" i="53"/>
  <c r="D243" i="55"/>
  <c r="D151" i="55"/>
  <c r="E116" i="83"/>
  <c r="F41" i="53"/>
  <c r="F94" i="53"/>
  <c r="D230" i="53"/>
  <c r="F23" i="21"/>
  <c r="H45" i="42"/>
  <c r="H47" i="42"/>
  <c r="E101" i="55"/>
  <c r="D56" i="83"/>
  <c r="F34" i="53"/>
  <c r="F87" i="53"/>
  <c r="E109" i="83"/>
  <c r="D125" i="83"/>
  <c r="E50" i="53"/>
  <c r="E103" i="53"/>
  <c r="D102" i="83"/>
  <c r="C66" i="84"/>
  <c r="D86" i="83"/>
  <c r="E21" i="84"/>
  <c r="E47" i="53"/>
  <c r="E100" i="53"/>
  <c r="D122" i="83"/>
  <c r="C93" i="83"/>
  <c r="D28" i="84"/>
  <c r="F38" i="53"/>
  <c r="F91" i="53"/>
  <c r="E113" i="83"/>
  <c r="E111" i="83"/>
  <c r="F36" i="53"/>
  <c r="F89" i="53"/>
  <c r="F114" i="55"/>
  <c r="E70" i="83"/>
  <c r="G35" i="84"/>
  <c r="C59" i="83"/>
  <c r="E24" i="84"/>
  <c r="D104" i="55"/>
  <c r="E225" i="53"/>
  <c r="F12" i="21"/>
  <c r="H143" i="29" s="1"/>
  <c r="J59" i="48"/>
  <c r="G127" i="29"/>
  <c r="D237" i="53"/>
  <c r="E97" i="55"/>
  <c r="D52" i="83"/>
  <c r="F17" i="84"/>
  <c r="J37" i="42"/>
  <c r="J43" i="42"/>
  <c r="H35" i="21"/>
  <c r="D67" i="84"/>
  <c r="E74" i="83"/>
  <c r="G39" i="84"/>
  <c r="F73" i="83"/>
  <c r="G38" i="84"/>
  <c r="E103" i="83"/>
  <c r="F177" i="84"/>
  <c r="D8" i="108"/>
  <c r="F152" i="84"/>
  <c r="C8" i="108"/>
  <c r="E152" i="84"/>
  <c r="J294" i="84"/>
  <c r="J295" i="84"/>
  <c r="J277" i="84"/>
  <c r="J296" i="84"/>
  <c r="J299" i="84"/>
  <c r="J292" i="84"/>
  <c r="C97" i="83"/>
  <c r="C27" i="108"/>
  <c r="D171" i="84"/>
  <c r="B27" i="108"/>
  <c r="C98" i="83"/>
  <c r="E172" i="84"/>
  <c r="D172" i="84"/>
  <c r="B28" i="108"/>
  <c r="F268" i="84"/>
  <c r="C17" i="108"/>
  <c r="E161" i="84"/>
  <c r="E171" i="84"/>
  <c r="E166" i="84"/>
  <c r="C22" i="108"/>
  <c r="F160" i="84"/>
  <c r="D16" i="108"/>
  <c r="F159" i="84"/>
  <c r="D15" i="108"/>
  <c r="E168" i="84"/>
  <c r="C24" i="108"/>
  <c r="F156" i="84"/>
  <c r="D12" i="108"/>
  <c r="E170" i="84"/>
  <c r="C26" i="108"/>
  <c r="F153" i="84"/>
  <c r="D9" i="108"/>
  <c r="F158" i="84"/>
  <c r="D14" i="108"/>
  <c r="D164" i="84"/>
  <c r="B20" i="108"/>
  <c r="D165" i="84"/>
  <c r="B21" i="108"/>
  <c r="D163" i="84"/>
  <c r="B19" i="108"/>
  <c r="E153" i="84"/>
  <c r="C9" i="108"/>
  <c r="E162" i="84"/>
  <c r="C18" i="108"/>
  <c r="E169" i="84"/>
  <c r="C25" i="108"/>
  <c r="F155" i="84"/>
  <c r="D11" i="108"/>
  <c r="G178" i="84"/>
  <c r="E33" i="108"/>
  <c r="E167" i="84"/>
  <c r="C23" i="108"/>
  <c r="F176" i="84"/>
  <c r="D32" i="108"/>
  <c r="F175" i="84"/>
  <c r="D31" i="108"/>
  <c r="C90" i="83"/>
  <c r="D90" i="83"/>
  <c r="F157" i="84"/>
  <c r="D13" i="108"/>
  <c r="D170" i="84"/>
  <c r="B26" i="108"/>
  <c r="E155" i="84"/>
  <c r="C11" i="108"/>
  <c r="E156" i="84"/>
  <c r="C12" i="108"/>
  <c r="E165" i="84"/>
  <c r="C21" i="108"/>
  <c r="G154" i="84"/>
  <c r="E10" i="108"/>
  <c r="E163" i="84"/>
  <c r="C19" i="108"/>
  <c r="G174" i="84"/>
  <c r="E30" i="108"/>
  <c r="D162" i="84"/>
  <c r="B18" i="108"/>
  <c r="D169" i="84"/>
  <c r="B25" i="108"/>
  <c r="D166" i="84"/>
  <c r="B22" i="108"/>
  <c r="F178" i="84"/>
  <c r="D33" i="108"/>
  <c r="B42" i="108"/>
  <c r="E51" i="81"/>
  <c r="I282" i="55"/>
  <c r="D253" i="84"/>
  <c r="D260" i="84"/>
  <c r="D257" i="84"/>
  <c r="B56" i="84"/>
  <c r="B60" i="84"/>
  <c r="F250" i="84"/>
  <c r="F249" i="84"/>
  <c r="D67" i="83"/>
  <c r="E32" i="84"/>
  <c r="D68" i="83"/>
  <c r="E33" i="84"/>
  <c r="E254" i="84"/>
  <c r="E253" i="84"/>
  <c r="F248" i="84"/>
  <c r="E260" i="84"/>
  <c r="D255" i="84"/>
  <c r="D261" i="84"/>
  <c r="D256" i="84"/>
  <c r="D254" i="84"/>
  <c r="E256" i="84"/>
  <c r="E255" i="84"/>
  <c r="E257" i="84"/>
  <c r="D66" i="83"/>
  <c r="E31" i="84"/>
  <c r="F267" i="84"/>
  <c r="F266" i="84"/>
  <c r="F246" i="84"/>
  <c r="G245" i="84"/>
  <c r="E244" i="84"/>
  <c r="Q698" i="95"/>
  <c r="S698" i="95"/>
  <c r="F14" i="84"/>
  <c r="J298" i="84"/>
  <c r="G269" i="84"/>
  <c r="G265" i="84"/>
  <c r="E252" i="84"/>
  <c r="D252" i="84"/>
  <c r="F247" i="84"/>
  <c r="E243" i="84"/>
  <c r="Q697" i="95"/>
  <c r="S697" i="95"/>
  <c r="F13" i="84"/>
  <c r="D46" i="84"/>
  <c r="B62" i="84"/>
  <c r="C54" i="84"/>
  <c r="B61" i="84"/>
  <c r="C145" i="84"/>
  <c r="C144" i="84"/>
  <c r="C143" i="84"/>
  <c r="E78" i="83"/>
  <c r="J275" i="55"/>
  <c r="E20" i="55"/>
  <c r="E78" i="55"/>
  <c r="G54" i="53"/>
  <c r="G107" i="53"/>
  <c r="G239" i="53"/>
  <c r="J261" i="55"/>
  <c r="J276" i="55"/>
  <c r="J260" i="55"/>
  <c r="I304" i="84"/>
  <c r="G38" i="21"/>
  <c r="F114" i="83"/>
  <c r="G39" i="53"/>
  <c r="G92" i="53"/>
  <c r="E244" i="55"/>
  <c r="E152" i="55"/>
  <c r="D52" i="84"/>
  <c r="E84" i="83"/>
  <c r="F227" i="53"/>
  <c r="E54" i="83"/>
  <c r="G19" i="84"/>
  <c r="F99" i="55"/>
  <c r="F43" i="53"/>
  <c r="F96" i="53"/>
  <c r="E118" i="83"/>
  <c r="E126" i="83"/>
  <c r="F51" i="53"/>
  <c r="F104" i="53"/>
  <c r="G37" i="53"/>
  <c r="G90" i="53"/>
  <c r="F112" i="83"/>
  <c r="E108" i="55"/>
  <c r="D63" i="83"/>
  <c r="E82" i="83"/>
  <c r="D50" i="84"/>
  <c r="E83" i="83"/>
  <c r="D51" i="84"/>
  <c r="G12" i="21"/>
  <c r="I127" i="29" s="1"/>
  <c r="E119" i="83"/>
  <c r="F44" i="53"/>
  <c r="F97" i="53"/>
  <c r="E242" i="55"/>
  <c r="E150" i="55"/>
  <c r="C63" i="84"/>
  <c r="D95" i="83"/>
  <c r="E104" i="55"/>
  <c r="D59" i="83"/>
  <c r="F24" i="84"/>
  <c r="F111" i="83"/>
  <c r="G36" i="53"/>
  <c r="G89" i="53"/>
  <c r="G38" i="53"/>
  <c r="G91" i="53"/>
  <c r="F113" i="83"/>
  <c r="E122" i="83"/>
  <c r="F47" i="53"/>
  <c r="F100" i="53"/>
  <c r="F109" i="83"/>
  <c r="G34" i="53"/>
  <c r="G87" i="53"/>
  <c r="E246" i="55"/>
  <c r="E154" i="55"/>
  <c r="D97" i="83"/>
  <c r="H36" i="29"/>
  <c r="G114" i="55"/>
  <c r="F70" i="83"/>
  <c r="H35" i="84"/>
  <c r="F226" i="53"/>
  <c r="D93" i="83"/>
  <c r="E28" i="84"/>
  <c r="E235" i="53"/>
  <c r="E86" i="83"/>
  <c r="F21" i="84"/>
  <c r="E102" i="83"/>
  <c r="D66" i="84"/>
  <c r="F222" i="53"/>
  <c r="G242" i="53"/>
  <c r="E51" i="83"/>
  <c r="G16" i="84"/>
  <c r="F96" i="55"/>
  <c r="F80" i="83"/>
  <c r="E48" i="84"/>
  <c r="G23" i="21"/>
  <c r="I45" i="42"/>
  <c r="I47" i="42"/>
  <c r="F221" i="53"/>
  <c r="E53" i="83"/>
  <c r="G18" i="84"/>
  <c r="F98" i="55"/>
  <c r="F275" i="84"/>
  <c r="D126" i="84"/>
  <c r="D128" i="84"/>
  <c r="D127" i="84"/>
  <c r="L39" i="48"/>
  <c r="E71" i="83"/>
  <c r="G36" i="84"/>
  <c r="F115" i="55"/>
  <c r="J293" i="84"/>
  <c r="J297" i="84"/>
  <c r="G129" i="83"/>
  <c r="H54" i="53"/>
  <c r="H107" i="53"/>
  <c r="G95" i="55"/>
  <c r="F50" i="83"/>
  <c r="H15" i="84"/>
  <c r="F240" i="53"/>
  <c r="E120" i="83"/>
  <c r="F45" i="53"/>
  <c r="F98" i="53"/>
  <c r="E236" i="53"/>
  <c r="E239" i="55"/>
  <c r="E147" i="55"/>
  <c r="D94" i="83"/>
  <c r="E29" i="84"/>
  <c r="D156" i="55"/>
  <c r="D248" i="55"/>
  <c r="D62" i="83"/>
  <c r="F27" i="84"/>
  <c r="E107" i="55"/>
  <c r="E48" i="83"/>
  <c r="D163" i="55"/>
  <c r="D255" i="55"/>
  <c r="C47" i="84"/>
  <c r="E72" i="83"/>
  <c r="G37" i="84"/>
  <c r="F116" i="55"/>
  <c r="D159" i="55"/>
  <c r="D251" i="55"/>
  <c r="F115" i="83"/>
  <c r="G40" i="53"/>
  <c r="G93" i="53"/>
  <c r="C56" i="84"/>
  <c r="D88" i="83"/>
  <c r="F256" i="55"/>
  <c r="F167" i="55"/>
  <c r="E238" i="53"/>
  <c r="F229" i="53"/>
  <c r="G133" i="83"/>
  <c r="H57" i="53"/>
  <c r="H110" i="53"/>
  <c r="E237" i="53"/>
  <c r="G223" i="53"/>
  <c r="F104" i="83"/>
  <c r="E67" i="84"/>
  <c r="H218" i="53"/>
  <c r="F52" i="53"/>
  <c r="F105" i="53"/>
  <c r="E127" i="83"/>
  <c r="E230" i="53"/>
  <c r="F241" i="53"/>
  <c r="D162" i="55"/>
  <c r="D254" i="55"/>
  <c r="E55" i="83"/>
  <c r="G20" i="84"/>
  <c r="F100" i="55"/>
  <c r="D61" i="55"/>
  <c r="F240" i="55"/>
  <c r="F148" i="55"/>
  <c r="F130" i="83"/>
  <c r="G55" i="53"/>
  <c r="G108" i="53"/>
  <c r="D57" i="83"/>
  <c r="F22" i="84"/>
  <c r="E102" i="55"/>
  <c r="E123" i="83"/>
  <c r="F48" i="53"/>
  <c r="F101" i="53"/>
  <c r="E49" i="83"/>
  <c r="F94" i="55"/>
  <c r="D160" i="55"/>
  <c r="D252" i="55"/>
  <c r="F225" i="53"/>
  <c r="D161" i="55"/>
  <c r="D253" i="55"/>
  <c r="E232" i="53"/>
  <c r="F224" i="53"/>
  <c r="F50" i="53"/>
  <c r="F103" i="53"/>
  <c r="E125" i="83"/>
  <c r="E56" i="83"/>
  <c r="F101" i="55"/>
  <c r="E52" i="83"/>
  <c r="G17" i="84"/>
  <c r="F97" i="55"/>
  <c r="D157" i="55"/>
  <c r="D249" i="55"/>
  <c r="G41" i="53"/>
  <c r="G94" i="53"/>
  <c r="F116" i="83"/>
  <c r="E124" i="83"/>
  <c r="F49" i="53"/>
  <c r="F102" i="53"/>
  <c r="E81" i="83"/>
  <c r="D49" i="84"/>
  <c r="G110" i="83"/>
  <c r="H35" i="53"/>
  <c r="H88" i="53"/>
  <c r="I30" i="53"/>
  <c r="I83" i="53"/>
  <c r="H113" i="81"/>
  <c r="J30" i="53"/>
  <c r="J83" i="53"/>
  <c r="F42" i="53"/>
  <c r="F95" i="53"/>
  <c r="E117" i="83"/>
  <c r="G56" i="53"/>
  <c r="G109" i="53"/>
  <c r="F131" i="83"/>
  <c r="D64" i="83"/>
  <c r="E109" i="55"/>
  <c r="D92" i="83"/>
  <c r="C60" i="84"/>
  <c r="E245" i="55"/>
  <c r="E153" i="55"/>
  <c r="D238" i="55"/>
  <c r="D146" i="55"/>
  <c r="E234" i="53"/>
  <c r="D60" i="83"/>
  <c r="F25" i="84"/>
  <c r="E105" i="55"/>
  <c r="F259" i="55"/>
  <c r="F170" i="55"/>
  <c r="D247" i="55"/>
  <c r="D155" i="55"/>
  <c r="D65" i="84"/>
  <c r="E101" i="83"/>
  <c r="E241" i="55"/>
  <c r="E149" i="55"/>
  <c r="C59" i="84"/>
  <c r="D91" i="83"/>
  <c r="F108" i="83"/>
  <c r="G33" i="53"/>
  <c r="G86" i="53"/>
  <c r="D89" i="83"/>
  <c r="C57" i="84"/>
  <c r="E128" i="83"/>
  <c r="F53" i="53"/>
  <c r="F106" i="53"/>
  <c r="C55" i="84"/>
  <c r="D87" i="83"/>
  <c r="E243" i="55"/>
  <c r="E151" i="55"/>
  <c r="D98" i="83"/>
  <c r="F100" i="83"/>
  <c r="E64" i="84"/>
  <c r="E168" i="55"/>
  <c r="E257" i="55"/>
  <c r="D96" i="83"/>
  <c r="F46" i="53"/>
  <c r="F99" i="53"/>
  <c r="E121" i="83"/>
  <c r="D158" i="55"/>
  <c r="D250" i="55"/>
  <c r="F74" i="83"/>
  <c r="H39" i="84"/>
  <c r="G117" i="55"/>
  <c r="E85" i="83"/>
  <c r="D53" i="84"/>
  <c r="E233" i="53"/>
  <c r="D41" i="84"/>
  <c r="D280" i="84"/>
  <c r="F20" i="55"/>
  <c r="G24" i="21"/>
  <c r="K57" i="48"/>
  <c r="K59" i="48"/>
  <c r="E231" i="53"/>
  <c r="D58" i="83"/>
  <c r="F23" i="84"/>
  <c r="E103" i="55"/>
  <c r="E93" i="55"/>
  <c r="D65" i="83"/>
  <c r="F30" i="84"/>
  <c r="E110" i="55"/>
  <c r="E79" i="83"/>
  <c r="C58" i="84"/>
  <c r="E258" i="55"/>
  <c r="E169" i="55"/>
  <c r="D61" i="83"/>
  <c r="F26" i="84"/>
  <c r="E106" i="55"/>
  <c r="F228" i="53"/>
  <c r="D69" i="55"/>
  <c r="D122" i="55" s="1"/>
  <c r="C42" i="108"/>
  <c r="K1836" i="95"/>
  <c r="C28" i="108"/>
  <c r="E8" i="108"/>
  <c r="G152" i="84"/>
  <c r="G268" i="84"/>
  <c r="F103" i="83"/>
  <c r="G177" i="84"/>
  <c r="G73" i="83"/>
  <c r="H38" i="84"/>
  <c r="D17" i="108"/>
  <c r="D42" i="108"/>
  <c r="F161" i="84"/>
  <c r="F171" i="84"/>
  <c r="D27" i="108"/>
  <c r="F172" i="84"/>
  <c r="D28" i="108"/>
  <c r="D232" i="84"/>
  <c r="D234" i="84"/>
  <c r="H154" i="84"/>
  <c r="F10" i="108"/>
  <c r="F164" i="84"/>
  <c r="D20" i="108"/>
  <c r="G159" i="84"/>
  <c r="E15" i="108"/>
  <c r="G155" i="84"/>
  <c r="E11" i="108"/>
  <c r="G176" i="84"/>
  <c r="E32" i="108"/>
  <c r="E164" i="84"/>
  <c r="E232" i="84"/>
  <c r="E234" i="84"/>
  <c r="C20" i="108"/>
  <c r="G153" i="84"/>
  <c r="E9" i="108"/>
  <c r="F166" i="84"/>
  <c r="D22" i="108"/>
  <c r="F168" i="84"/>
  <c r="D24" i="108"/>
  <c r="F170" i="84"/>
  <c r="D26" i="108"/>
  <c r="H174" i="84"/>
  <c r="F30" i="108"/>
  <c r="F163" i="84"/>
  <c r="D19" i="108"/>
  <c r="F165" i="84"/>
  <c r="D21" i="108"/>
  <c r="F162" i="84"/>
  <c r="D18" i="108"/>
  <c r="G160" i="84"/>
  <c r="E16" i="108"/>
  <c r="F167" i="84"/>
  <c r="D23" i="108"/>
  <c r="G157" i="84"/>
  <c r="E13" i="108"/>
  <c r="G156" i="84"/>
  <c r="E12" i="108"/>
  <c r="G175" i="84"/>
  <c r="E31" i="108"/>
  <c r="H178" i="84"/>
  <c r="F33" i="108"/>
  <c r="F169" i="84"/>
  <c r="D25" i="108"/>
  <c r="G158" i="84"/>
  <c r="E14" i="108"/>
  <c r="D282" i="84"/>
  <c r="D231" i="84"/>
  <c r="F51" i="81"/>
  <c r="K1837" i="95"/>
  <c r="F254" i="84"/>
  <c r="G249" i="84"/>
  <c r="E261" i="84"/>
  <c r="F257" i="84"/>
  <c r="E66" i="83"/>
  <c r="F31" i="84"/>
  <c r="E68" i="83"/>
  <c r="F33" i="84"/>
  <c r="F260" i="84"/>
  <c r="G248" i="84"/>
  <c r="F255" i="84"/>
  <c r="G250" i="84"/>
  <c r="E262" i="84"/>
  <c r="E263" i="84"/>
  <c r="F256" i="84"/>
  <c r="F253" i="84"/>
  <c r="E67" i="83"/>
  <c r="F32" i="84"/>
  <c r="G267" i="84"/>
  <c r="G266" i="84"/>
  <c r="G246" i="84"/>
  <c r="H245" i="84"/>
  <c r="F244" i="84"/>
  <c r="T698" i="95"/>
  <c r="V698" i="95"/>
  <c r="G14" i="84"/>
  <c r="H269" i="84"/>
  <c r="H265" i="84"/>
  <c r="F252" i="84"/>
  <c r="G247" i="84"/>
  <c r="F243" i="84"/>
  <c r="T697" i="95"/>
  <c r="V697" i="95"/>
  <c r="G13" i="84"/>
  <c r="D279" i="84"/>
  <c r="D281" i="84"/>
  <c r="D54" i="84"/>
  <c r="C61" i="84"/>
  <c r="C62" i="84"/>
  <c r="D144" i="84"/>
  <c r="D145" i="84"/>
  <c r="D143" i="84"/>
  <c r="F78" i="83"/>
  <c r="J282" i="55"/>
  <c r="E131" i="55"/>
  <c r="J142" i="29"/>
  <c r="J35" i="29"/>
  <c r="J174" i="29"/>
  <c r="J158" i="29"/>
  <c r="J126" i="29"/>
  <c r="I142" i="29"/>
  <c r="I174" i="29"/>
  <c r="I158" i="29"/>
  <c r="S267" i="55"/>
  <c r="F244" i="55"/>
  <c r="F152" i="55"/>
  <c r="E52" i="84"/>
  <c r="F84" i="83"/>
  <c r="G227" i="53"/>
  <c r="G99" i="55"/>
  <c r="F54" i="83"/>
  <c r="H19" i="84"/>
  <c r="H39" i="53"/>
  <c r="H92" i="53"/>
  <c r="G114" i="83"/>
  <c r="G224" i="53"/>
  <c r="E253" i="55"/>
  <c r="E161" i="55"/>
  <c r="G112" i="83"/>
  <c r="H37" i="53"/>
  <c r="H90" i="53"/>
  <c r="F118" i="83"/>
  <c r="G43" i="53"/>
  <c r="G96" i="53"/>
  <c r="F79" i="83"/>
  <c r="G259" i="55"/>
  <c r="G170" i="55"/>
  <c r="E127" i="84"/>
  <c r="E128" i="84"/>
  <c r="G275" i="84"/>
  <c r="E126" i="84"/>
  <c r="G221" i="53"/>
  <c r="G131" i="83"/>
  <c r="H56" i="53"/>
  <c r="H109" i="53"/>
  <c r="G50" i="53"/>
  <c r="G103" i="53"/>
  <c r="F125" i="83"/>
  <c r="F239" i="55"/>
  <c r="F147" i="55"/>
  <c r="G100" i="55"/>
  <c r="F55" i="83"/>
  <c r="H20" i="84"/>
  <c r="F72" i="83"/>
  <c r="H37" i="84"/>
  <c r="G116" i="55"/>
  <c r="F235" i="53"/>
  <c r="E248" i="55"/>
  <c r="E156" i="55"/>
  <c r="D12" i="84"/>
  <c r="B44" i="84"/>
  <c r="H117" i="55"/>
  <c r="G74" i="83"/>
  <c r="I39" i="84"/>
  <c r="F234" i="53"/>
  <c r="E96" i="83"/>
  <c r="F64" i="84"/>
  <c r="G100" i="83"/>
  <c r="G108" i="83"/>
  <c r="H33" i="53"/>
  <c r="H86" i="53"/>
  <c r="E65" i="84"/>
  <c r="F101" i="83"/>
  <c r="G241" i="53"/>
  <c r="J218" i="53"/>
  <c r="E49" i="84"/>
  <c r="F81" i="83"/>
  <c r="F238" i="53"/>
  <c r="F49" i="83"/>
  <c r="G94" i="55"/>
  <c r="F123" i="83"/>
  <c r="G48" i="53"/>
  <c r="G101" i="53"/>
  <c r="E57" i="83"/>
  <c r="G22" i="84"/>
  <c r="F102" i="55"/>
  <c r="G240" i="53"/>
  <c r="H24" i="21"/>
  <c r="L57" i="48"/>
  <c r="L59" i="48"/>
  <c r="H133" i="83"/>
  <c r="J57" i="53"/>
  <c r="J110" i="53"/>
  <c r="I57" i="53"/>
  <c r="I110" i="53"/>
  <c r="G228" i="53"/>
  <c r="F93" i="55"/>
  <c r="F233" i="53"/>
  <c r="H239" i="53"/>
  <c r="F257" i="55"/>
  <c r="F168" i="55"/>
  <c r="H12" i="21"/>
  <c r="J159" i="29" s="1"/>
  <c r="F53" i="83"/>
  <c r="H18" i="84"/>
  <c r="G98" i="55"/>
  <c r="G70" i="83"/>
  <c r="I35" i="84"/>
  <c r="H114" i="55"/>
  <c r="G109" i="83"/>
  <c r="H34" i="53"/>
  <c r="H87" i="53"/>
  <c r="F122" i="83"/>
  <c r="G47" i="53"/>
  <c r="G100" i="53"/>
  <c r="H36" i="53"/>
  <c r="H89" i="53"/>
  <c r="G111" i="83"/>
  <c r="I159" i="29"/>
  <c r="I36" i="29"/>
  <c r="G225" i="53"/>
  <c r="F231" i="53"/>
  <c r="F121" i="83"/>
  <c r="G46" i="53"/>
  <c r="G99" i="53"/>
  <c r="E60" i="83"/>
  <c r="G25" i="84"/>
  <c r="F105" i="55"/>
  <c r="F236" i="53"/>
  <c r="H242" i="53"/>
  <c r="F107" i="55"/>
  <c r="E62" i="83"/>
  <c r="G27" i="84"/>
  <c r="G240" i="55"/>
  <c r="G148" i="55"/>
  <c r="F102" i="83"/>
  <c r="E66" i="84"/>
  <c r="G222" i="53"/>
  <c r="E251" i="55"/>
  <c r="E159" i="55"/>
  <c r="E61" i="83"/>
  <c r="G26" i="84"/>
  <c r="F106" i="55"/>
  <c r="E90" i="83"/>
  <c r="D58" i="84"/>
  <c r="E58" i="83"/>
  <c r="G23" i="84"/>
  <c r="F103" i="55"/>
  <c r="F128" i="83"/>
  <c r="G53" i="53"/>
  <c r="G106" i="53"/>
  <c r="E92" i="83"/>
  <c r="D60" i="84"/>
  <c r="E254" i="55"/>
  <c r="E162" i="55"/>
  <c r="I218" i="53"/>
  <c r="H223" i="53"/>
  <c r="F237" i="53"/>
  <c r="H41" i="53"/>
  <c r="H94" i="53"/>
  <c r="G116" i="83"/>
  <c r="F246" i="55"/>
  <c r="F154" i="55"/>
  <c r="H55" i="53"/>
  <c r="H108" i="53"/>
  <c r="G130" i="83"/>
  <c r="F127" i="83"/>
  <c r="G52" i="53"/>
  <c r="G105" i="53"/>
  <c r="D56" i="84"/>
  <c r="E88" i="83"/>
  <c r="H40" i="53"/>
  <c r="H93" i="53"/>
  <c r="G115" i="83"/>
  <c r="E41" i="84"/>
  <c r="F48" i="83"/>
  <c r="G45" i="53"/>
  <c r="G98" i="53"/>
  <c r="F120" i="83"/>
  <c r="I54" i="53"/>
  <c r="I107" i="53"/>
  <c r="H129" i="83"/>
  <c r="J54" i="53"/>
  <c r="J107" i="53"/>
  <c r="F71" i="83"/>
  <c r="H36" i="84"/>
  <c r="G115" i="55"/>
  <c r="F241" i="55"/>
  <c r="F149" i="55"/>
  <c r="G21" i="84"/>
  <c r="F86" i="83"/>
  <c r="E93" i="83"/>
  <c r="F28" i="84"/>
  <c r="G256" i="55"/>
  <c r="G167" i="55"/>
  <c r="G113" i="83"/>
  <c r="H38" i="53"/>
  <c r="H91" i="53"/>
  <c r="F104" i="55"/>
  <c r="E59" i="83"/>
  <c r="G24" i="84"/>
  <c r="E95" i="83"/>
  <c r="D63" i="84"/>
  <c r="H23" i="21"/>
  <c r="J45" i="42"/>
  <c r="J47" i="42"/>
  <c r="F232" i="53"/>
  <c r="F83" i="83"/>
  <c r="E51" i="84"/>
  <c r="E50" i="84"/>
  <c r="F82" i="83"/>
  <c r="E238" i="55"/>
  <c r="E146" i="55"/>
  <c r="E87" i="83"/>
  <c r="D55" i="84"/>
  <c r="D57" i="84"/>
  <c r="E89" i="83"/>
  <c r="F230" i="53"/>
  <c r="F52" i="83"/>
  <c r="H17" i="84"/>
  <c r="G97" i="55"/>
  <c r="E247" i="55"/>
  <c r="E155" i="55"/>
  <c r="E94" i="83"/>
  <c r="F29" i="84"/>
  <c r="F243" i="55"/>
  <c r="F151" i="55"/>
  <c r="E255" i="55"/>
  <c r="E163" i="55"/>
  <c r="E65" i="83"/>
  <c r="G30" i="84"/>
  <c r="F110" i="55"/>
  <c r="D47" i="84"/>
  <c r="E61" i="55"/>
  <c r="F85" i="83"/>
  <c r="E53" i="84"/>
  <c r="E98" i="83"/>
  <c r="E91" i="83"/>
  <c r="D59" i="84"/>
  <c r="E250" i="55"/>
  <c r="E158" i="55"/>
  <c r="E64" i="83"/>
  <c r="F109" i="55"/>
  <c r="F117" i="83"/>
  <c r="G42" i="53"/>
  <c r="G95" i="53"/>
  <c r="I35" i="53"/>
  <c r="I88" i="53"/>
  <c r="H110" i="83"/>
  <c r="J35" i="53"/>
  <c r="J88" i="53"/>
  <c r="G49" i="53"/>
  <c r="G102" i="53"/>
  <c r="F124" i="83"/>
  <c r="G229" i="53"/>
  <c r="F242" i="55"/>
  <c r="F150" i="55"/>
  <c r="F56" i="83"/>
  <c r="G101" i="55"/>
  <c r="F245" i="55"/>
  <c r="F153" i="55"/>
  <c r="F67" i="84"/>
  <c r="G104" i="83"/>
  <c r="F258" i="55"/>
  <c r="F169" i="55"/>
  <c r="E252" i="55"/>
  <c r="E160" i="55"/>
  <c r="G50" i="83"/>
  <c r="I15" i="84"/>
  <c r="H95" i="55"/>
  <c r="J304" i="84"/>
  <c r="H38" i="21"/>
  <c r="F48" i="84"/>
  <c r="G80" i="83"/>
  <c r="G96" i="55"/>
  <c r="F51" i="83"/>
  <c r="H16" i="84"/>
  <c r="E97" i="83"/>
  <c r="G226" i="53"/>
  <c r="E249" i="55"/>
  <c r="E157" i="55"/>
  <c r="F119" i="83"/>
  <c r="G44" i="53"/>
  <c r="G97" i="53"/>
  <c r="F108" i="55"/>
  <c r="E63" i="83"/>
  <c r="F126" i="83"/>
  <c r="G51" i="53"/>
  <c r="G104" i="53"/>
  <c r="E69" i="55"/>
  <c r="E122" i="55" s="1"/>
  <c r="H73" i="83"/>
  <c r="J38" i="84"/>
  <c r="I38" i="84"/>
  <c r="F8" i="108"/>
  <c r="H152" i="84"/>
  <c r="G103" i="83"/>
  <c r="H177" i="84"/>
  <c r="H268" i="84"/>
  <c r="E17" i="108"/>
  <c r="E42" i="108"/>
  <c r="G161" i="84"/>
  <c r="G171" i="84"/>
  <c r="E27" i="108"/>
  <c r="G172" i="84"/>
  <c r="E28" i="108"/>
  <c r="F232" i="84"/>
  <c r="F234" i="84"/>
  <c r="G168" i="84"/>
  <c r="E24" i="108"/>
  <c r="H160" i="84"/>
  <c r="F16" i="108"/>
  <c r="G165" i="84"/>
  <c r="E21" i="108"/>
  <c r="H159" i="84"/>
  <c r="F15" i="108"/>
  <c r="I154" i="84"/>
  <c r="G10" i="108"/>
  <c r="H157" i="84"/>
  <c r="F13" i="108"/>
  <c r="G167" i="84"/>
  <c r="E23" i="108"/>
  <c r="G162" i="84"/>
  <c r="E18" i="108"/>
  <c r="G164" i="84"/>
  <c r="E20" i="108"/>
  <c r="H176" i="84"/>
  <c r="F32" i="108"/>
  <c r="H175" i="84"/>
  <c r="F31" i="108"/>
  <c r="G170" i="84"/>
  <c r="E26" i="108"/>
  <c r="H153" i="84"/>
  <c r="F9" i="108"/>
  <c r="I178" i="84"/>
  <c r="G33" i="108"/>
  <c r="H156" i="84"/>
  <c r="F12" i="108"/>
  <c r="H158" i="84"/>
  <c r="F14" i="108"/>
  <c r="L230" i="84"/>
  <c r="L232" i="84"/>
  <c r="I174" i="84"/>
  <c r="G30" i="108"/>
  <c r="G163" i="84"/>
  <c r="E19" i="108"/>
  <c r="G166" i="84"/>
  <c r="E22" i="108"/>
  <c r="G169" i="84"/>
  <c r="E25" i="108"/>
  <c r="H155" i="84"/>
  <c r="F11" i="108"/>
  <c r="E282" i="84"/>
  <c r="E231" i="84"/>
  <c r="G51" i="81"/>
  <c r="H51" i="81"/>
  <c r="G253" i="84"/>
  <c r="H250" i="84"/>
  <c r="F68" i="83"/>
  <c r="G33" i="84"/>
  <c r="G255" i="84"/>
  <c r="F262" i="84"/>
  <c r="F261" i="84"/>
  <c r="G254" i="84"/>
  <c r="G257" i="84"/>
  <c r="H248" i="84"/>
  <c r="F67" i="83"/>
  <c r="G32" i="84"/>
  <c r="F66" i="83"/>
  <c r="G31" i="84"/>
  <c r="G260" i="84"/>
  <c r="G256" i="84"/>
  <c r="H249" i="84"/>
  <c r="F263" i="84"/>
  <c r="H267" i="84"/>
  <c r="H266" i="84"/>
  <c r="H246" i="84"/>
  <c r="I245" i="84"/>
  <c r="G244" i="84"/>
  <c r="W698" i="95"/>
  <c r="Y698" i="95"/>
  <c r="H14" i="84"/>
  <c r="I269" i="84"/>
  <c r="I265" i="84"/>
  <c r="G252" i="84"/>
  <c r="H247" i="84"/>
  <c r="W697" i="95"/>
  <c r="Y697" i="95"/>
  <c r="H13" i="84"/>
  <c r="F46" i="84"/>
  <c r="G243" i="84"/>
  <c r="E46" i="84"/>
  <c r="E280" i="84"/>
  <c r="E281" i="84"/>
  <c r="E279" i="84"/>
  <c r="D61" i="84"/>
  <c r="D62" i="84"/>
  <c r="E54" i="84"/>
  <c r="E144" i="84"/>
  <c r="E143" i="84"/>
  <c r="E145" i="84"/>
  <c r="G78" i="83"/>
  <c r="G20" i="55"/>
  <c r="H20" i="55"/>
  <c r="G84" i="83"/>
  <c r="F52" i="84"/>
  <c r="G244" i="55"/>
  <c r="G152" i="55"/>
  <c r="I39" i="53"/>
  <c r="I92" i="53"/>
  <c r="H114" i="83"/>
  <c r="J39" i="53"/>
  <c r="J92" i="53"/>
  <c r="G54" i="83"/>
  <c r="I19" i="84"/>
  <c r="H99" i="55"/>
  <c r="H227" i="53"/>
  <c r="F63" i="83"/>
  <c r="G108" i="55"/>
  <c r="F253" i="55"/>
  <c r="F161" i="55"/>
  <c r="G67" i="84"/>
  <c r="H104" i="83"/>
  <c r="G237" i="53"/>
  <c r="F91" i="83"/>
  <c r="E59" i="84"/>
  <c r="F92" i="83"/>
  <c r="E60" i="84"/>
  <c r="H80" i="83"/>
  <c r="G48" i="84"/>
  <c r="G120" i="83"/>
  <c r="H45" i="53"/>
  <c r="H98" i="53"/>
  <c r="F88" i="83"/>
  <c r="E56" i="84"/>
  <c r="F61" i="83"/>
  <c r="H26" i="84"/>
  <c r="G106" i="55"/>
  <c r="F250" i="55"/>
  <c r="F158" i="55"/>
  <c r="G243" i="55"/>
  <c r="G151" i="55"/>
  <c r="F247" i="55"/>
  <c r="F155" i="55"/>
  <c r="H100" i="83"/>
  <c r="G64" i="84"/>
  <c r="H74" i="83"/>
  <c r="I117" i="55"/>
  <c r="G232" i="53"/>
  <c r="F97" i="83"/>
  <c r="G241" i="55"/>
  <c r="G149" i="55"/>
  <c r="J223" i="53"/>
  <c r="G117" i="83"/>
  <c r="H42" i="53"/>
  <c r="H95" i="53"/>
  <c r="G29" i="84"/>
  <c r="F94" i="83"/>
  <c r="F51" i="84"/>
  <c r="G83" i="83"/>
  <c r="F95" i="83"/>
  <c r="E63" i="84"/>
  <c r="H113" i="83"/>
  <c r="J38" i="53"/>
  <c r="J91" i="53"/>
  <c r="I38" i="53"/>
  <c r="I91" i="53"/>
  <c r="G233" i="53"/>
  <c r="I40" i="53"/>
  <c r="I93" i="53"/>
  <c r="H115" i="83"/>
  <c r="J40" i="53"/>
  <c r="J93" i="53"/>
  <c r="H116" i="83"/>
  <c r="J41" i="53"/>
  <c r="J94" i="53"/>
  <c r="I41" i="53"/>
  <c r="I94" i="53"/>
  <c r="G128" i="83"/>
  <c r="H53" i="53"/>
  <c r="H106" i="53"/>
  <c r="F62" i="83"/>
  <c r="H27" i="84"/>
  <c r="G107" i="55"/>
  <c r="F60" i="83"/>
  <c r="H25" i="84"/>
  <c r="G105" i="55"/>
  <c r="G122" i="83"/>
  <c r="H47" i="53"/>
  <c r="H100" i="53"/>
  <c r="G53" i="83"/>
  <c r="I18" i="84"/>
  <c r="H98" i="55"/>
  <c r="F238" i="55"/>
  <c r="F146" i="55"/>
  <c r="G102" i="55"/>
  <c r="F57" i="83"/>
  <c r="H22" i="84"/>
  <c r="G49" i="83"/>
  <c r="I14" i="84"/>
  <c r="H94" i="55"/>
  <c r="F127" i="84"/>
  <c r="H275" i="84"/>
  <c r="F128" i="84"/>
  <c r="F126" i="84"/>
  <c r="F96" i="83"/>
  <c r="H170" i="55"/>
  <c r="H259" i="55"/>
  <c r="G55" i="83"/>
  <c r="I20" i="84"/>
  <c r="H100" i="55"/>
  <c r="G125" i="83"/>
  <c r="H50" i="53"/>
  <c r="H103" i="53"/>
  <c r="H241" i="53"/>
  <c r="E47" i="84"/>
  <c r="G231" i="53"/>
  <c r="H112" i="83"/>
  <c r="J37" i="53"/>
  <c r="J90" i="53"/>
  <c r="I37" i="53"/>
  <c r="I90" i="53"/>
  <c r="G51" i="83"/>
  <c r="I16" i="84"/>
  <c r="H96" i="55"/>
  <c r="G230" i="53"/>
  <c r="F98" i="83"/>
  <c r="G85" i="83"/>
  <c r="F53" i="84"/>
  <c r="H226" i="53"/>
  <c r="E12" i="84"/>
  <c r="C44" i="84"/>
  <c r="G127" i="83"/>
  <c r="H52" i="53"/>
  <c r="H105" i="53"/>
  <c r="G103" i="55"/>
  <c r="F58" i="83"/>
  <c r="H23" i="84"/>
  <c r="G121" i="83"/>
  <c r="H46" i="53"/>
  <c r="H99" i="53"/>
  <c r="G235" i="53"/>
  <c r="F61" i="55"/>
  <c r="J242" i="53"/>
  <c r="G239" i="55"/>
  <c r="G147" i="55"/>
  <c r="G101" i="83"/>
  <c r="F65" i="84"/>
  <c r="H225" i="53"/>
  <c r="G126" i="83"/>
  <c r="H51" i="53"/>
  <c r="H104" i="53"/>
  <c r="H44" i="53"/>
  <c r="H97" i="53"/>
  <c r="G119" i="83"/>
  <c r="H148" i="55"/>
  <c r="H240" i="55"/>
  <c r="G246" i="55"/>
  <c r="G154" i="55"/>
  <c r="I223" i="53"/>
  <c r="F254" i="55"/>
  <c r="F162" i="55"/>
  <c r="F41" i="84"/>
  <c r="F255" i="55"/>
  <c r="F163" i="55"/>
  <c r="G242" i="55"/>
  <c r="G150" i="55"/>
  <c r="F87" i="83"/>
  <c r="E55" i="84"/>
  <c r="F50" i="84"/>
  <c r="G82" i="83"/>
  <c r="F59" i="83"/>
  <c r="H24" i="84"/>
  <c r="G104" i="55"/>
  <c r="G28" i="84"/>
  <c r="F93" i="83"/>
  <c r="G257" i="55"/>
  <c r="G168" i="55"/>
  <c r="J239" i="53"/>
  <c r="G93" i="55"/>
  <c r="H228" i="53"/>
  <c r="H130" i="83"/>
  <c r="J55" i="53"/>
  <c r="J108" i="53"/>
  <c r="I55" i="53"/>
  <c r="I108" i="53"/>
  <c r="H229" i="53"/>
  <c r="E58" i="84"/>
  <c r="F90" i="83"/>
  <c r="F252" i="55"/>
  <c r="F160" i="55"/>
  <c r="H111" i="83"/>
  <c r="J36" i="53"/>
  <c r="J89" i="53"/>
  <c r="I36" i="53"/>
  <c r="I89" i="53"/>
  <c r="H222" i="53"/>
  <c r="H256" i="55"/>
  <c r="H167" i="55"/>
  <c r="J143" i="29"/>
  <c r="G236" i="53"/>
  <c r="H221" i="53"/>
  <c r="G258" i="55"/>
  <c r="G169" i="55"/>
  <c r="G245" i="55"/>
  <c r="G153" i="55"/>
  <c r="G238" i="53"/>
  <c r="H131" i="83"/>
  <c r="J56" i="53"/>
  <c r="J109" i="53"/>
  <c r="I56" i="53"/>
  <c r="I109" i="53"/>
  <c r="G79" i="83"/>
  <c r="G118" i="83"/>
  <c r="H43" i="53"/>
  <c r="H96" i="53"/>
  <c r="H50" i="83"/>
  <c r="I95" i="55"/>
  <c r="G56" i="83"/>
  <c r="H101" i="55"/>
  <c r="G124" i="83"/>
  <c r="H49" i="53"/>
  <c r="H102" i="53"/>
  <c r="F64" i="83"/>
  <c r="G109" i="55"/>
  <c r="F65" i="83"/>
  <c r="H30" i="84"/>
  <c r="G110" i="55"/>
  <c r="G52" i="83"/>
  <c r="I17" i="84"/>
  <c r="H97" i="55"/>
  <c r="E57" i="84"/>
  <c r="F89" i="83"/>
  <c r="F249" i="55"/>
  <c r="F157" i="55"/>
  <c r="G86" i="83"/>
  <c r="H21" i="84"/>
  <c r="G71" i="83"/>
  <c r="I36" i="84"/>
  <c r="H115" i="55"/>
  <c r="I239" i="53"/>
  <c r="G48" i="83"/>
  <c r="I13" i="84"/>
  <c r="H240" i="53"/>
  <c r="F248" i="55"/>
  <c r="F156" i="55"/>
  <c r="F251" i="55"/>
  <c r="F159" i="55"/>
  <c r="F66" i="84"/>
  <c r="G102" i="83"/>
  <c r="G234" i="53"/>
  <c r="H224" i="53"/>
  <c r="H109" i="83"/>
  <c r="J34" i="53"/>
  <c r="J87" i="53"/>
  <c r="I34" i="53"/>
  <c r="I87" i="53"/>
  <c r="H70" i="83"/>
  <c r="I114" i="55"/>
  <c r="I242" i="53"/>
  <c r="H48" i="53"/>
  <c r="H101" i="53"/>
  <c r="G123" i="83"/>
  <c r="G81" i="83"/>
  <c r="F49" i="84"/>
  <c r="H108" i="83"/>
  <c r="J33" i="53"/>
  <c r="J86" i="53"/>
  <c r="I33" i="53"/>
  <c r="I86" i="53"/>
  <c r="D276" i="84"/>
  <c r="D278" i="84"/>
  <c r="G72" i="83"/>
  <c r="I37" i="84"/>
  <c r="H116" i="55"/>
  <c r="I268" i="84"/>
  <c r="J268" i="84"/>
  <c r="G8" i="108"/>
  <c r="I152" i="84"/>
  <c r="H103" i="83"/>
  <c r="J177" i="84"/>
  <c r="I177" i="84"/>
  <c r="H172" i="84"/>
  <c r="F28" i="108"/>
  <c r="H171" i="84"/>
  <c r="F27" i="108"/>
  <c r="G232" i="84"/>
  <c r="G234" i="84"/>
  <c r="F17" i="108"/>
  <c r="F42" i="108"/>
  <c r="H161" i="84"/>
  <c r="I155" i="84"/>
  <c r="G11" i="108"/>
  <c r="I156" i="84"/>
  <c r="G12" i="108"/>
  <c r="I159" i="84"/>
  <c r="G15" i="108"/>
  <c r="H169" i="84"/>
  <c r="F25" i="108"/>
  <c r="H168" i="84"/>
  <c r="F24" i="108"/>
  <c r="H162" i="84"/>
  <c r="F18" i="108"/>
  <c r="J178" i="84"/>
  <c r="H33" i="108"/>
  <c r="I176" i="84"/>
  <c r="G32" i="108"/>
  <c r="H163" i="84"/>
  <c r="F19" i="108"/>
  <c r="I153" i="84"/>
  <c r="G9" i="108"/>
  <c r="I157" i="84"/>
  <c r="G13" i="108"/>
  <c r="J174" i="84"/>
  <c r="H30" i="108"/>
  <c r="J154" i="84"/>
  <c r="H10" i="108"/>
  <c r="H165" i="84"/>
  <c r="F21" i="108"/>
  <c r="I158" i="84"/>
  <c r="G14" i="108"/>
  <c r="L231" i="84"/>
  <c r="I160" i="84"/>
  <c r="G16" i="108"/>
  <c r="H164" i="84"/>
  <c r="F20" i="108"/>
  <c r="I175" i="84"/>
  <c r="G31" i="108"/>
  <c r="H167" i="84"/>
  <c r="F23" i="108"/>
  <c r="H170" i="84"/>
  <c r="F26" i="108"/>
  <c r="H166" i="84"/>
  <c r="F22" i="108"/>
  <c r="F282" i="84"/>
  <c r="F231" i="84"/>
  <c r="G66" i="83"/>
  <c r="H31" i="84"/>
  <c r="H260" i="84"/>
  <c r="I250" i="84"/>
  <c r="I248" i="84"/>
  <c r="H255" i="84"/>
  <c r="H256" i="84"/>
  <c r="G262" i="84"/>
  <c r="G67" i="83"/>
  <c r="H32" i="84"/>
  <c r="G263" i="84"/>
  <c r="H254" i="84"/>
  <c r="H253" i="84"/>
  <c r="H257" i="84"/>
  <c r="I249" i="84"/>
  <c r="G261" i="84"/>
  <c r="G68" i="83"/>
  <c r="H33" i="84"/>
  <c r="I267" i="84"/>
  <c r="I266" i="84"/>
  <c r="I246" i="84"/>
  <c r="J95" i="55"/>
  <c r="J240" i="55"/>
  <c r="J15" i="84"/>
  <c r="H244" i="84"/>
  <c r="I244" i="84"/>
  <c r="J117" i="55"/>
  <c r="J259" i="55"/>
  <c r="J39" i="84"/>
  <c r="H67" i="84"/>
  <c r="J114" i="55"/>
  <c r="J256" i="55"/>
  <c r="J35" i="84"/>
  <c r="H252" i="84"/>
  <c r="I247" i="84"/>
  <c r="I243" i="84"/>
  <c r="H243" i="84"/>
  <c r="F281" i="84"/>
  <c r="F279" i="84"/>
  <c r="F280" i="84"/>
  <c r="E62" i="84"/>
  <c r="F54" i="84"/>
  <c r="E61" i="84"/>
  <c r="F143" i="84"/>
  <c r="F144" i="84"/>
  <c r="F145" i="84"/>
  <c r="H78" i="83"/>
  <c r="G46" i="84"/>
  <c r="I20" i="55"/>
  <c r="H152" i="55"/>
  <c r="H244" i="55"/>
  <c r="I99" i="55"/>
  <c r="H54" i="83"/>
  <c r="J227" i="53"/>
  <c r="I227" i="53"/>
  <c r="H84" i="83"/>
  <c r="G52" i="84"/>
  <c r="I116" i="55"/>
  <c r="H72" i="83"/>
  <c r="I48" i="53"/>
  <c r="I101" i="53"/>
  <c r="H123" i="83"/>
  <c r="J48" i="53"/>
  <c r="J101" i="53"/>
  <c r="H242" i="55"/>
  <c r="H150" i="55"/>
  <c r="H237" i="53"/>
  <c r="I240" i="55"/>
  <c r="I148" i="55"/>
  <c r="I43" i="53"/>
  <c r="I96" i="53"/>
  <c r="H118" i="83"/>
  <c r="J43" i="53"/>
  <c r="J96" i="53"/>
  <c r="J241" i="53"/>
  <c r="J240" i="53"/>
  <c r="H82" i="83"/>
  <c r="G50" i="84"/>
  <c r="H119" i="83"/>
  <c r="J44" i="53"/>
  <c r="J97" i="53"/>
  <c r="I44" i="53"/>
  <c r="I97" i="53"/>
  <c r="H103" i="55"/>
  <c r="G58" i="83"/>
  <c r="I23" i="84"/>
  <c r="J225" i="53"/>
  <c r="H125" i="83"/>
  <c r="J50" i="53"/>
  <c r="J103" i="53"/>
  <c r="I50" i="53"/>
  <c r="I103" i="53"/>
  <c r="G96" i="83"/>
  <c r="H239" i="55"/>
  <c r="H147" i="55"/>
  <c r="H243" i="55"/>
  <c r="H151" i="55"/>
  <c r="G250" i="55"/>
  <c r="G158" i="55"/>
  <c r="G252" i="55"/>
  <c r="G160" i="55"/>
  <c r="I53" i="53"/>
  <c r="I106" i="53"/>
  <c r="H128" i="83"/>
  <c r="J53" i="53"/>
  <c r="J106" i="53"/>
  <c r="H117" i="83"/>
  <c r="J42" i="53"/>
  <c r="J95" i="53"/>
  <c r="I42" i="53"/>
  <c r="I95" i="53"/>
  <c r="G97" i="83"/>
  <c r="I259" i="55"/>
  <c r="I170" i="55"/>
  <c r="G251" i="55"/>
  <c r="G159" i="55"/>
  <c r="F56" i="84"/>
  <c r="G88" i="83"/>
  <c r="F59" i="84"/>
  <c r="G91" i="83"/>
  <c r="I222" i="53"/>
  <c r="H86" i="83"/>
  <c r="I21" i="84"/>
  <c r="H231" i="53"/>
  <c r="I240" i="53"/>
  <c r="G59" i="83"/>
  <c r="I24" i="84"/>
  <c r="H104" i="55"/>
  <c r="F12" i="84"/>
  <c r="D44" i="84"/>
  <c r="H127" i="83"/>
  <c r="J52" i="53"/>
  <c r="J105" i="53"/>
  <c r="I52" i="53"/>
  <c r="I105" i="53"/>
  <c r="H85" i="83"/>
  <c r="G53" i="84"/>
  <c r="G41" i="84"/>
  <c r="J226" i="53"/>
  <c r="H230" i="53"/>
  <c r="G63" i="83"/>
  <c r="H108" i="55"/>
  <c r="J222" i="53"/>
  <c r="H236" i="53"/>
  <c r="H102" i="83"/>
  <c r="G66" i="84"/>
  <c r="H93" i="55"/>
  <c r="H257" i="55"/>
  <c r="H168" i="55"/>
  <c r="H52" i="83"/>
  <c r="I97" i="55"/>
  <c r="G255" i="55"/>
  <c r="G163" i="55"/>
  <c r="G254" i="55"/>
  <c r="G162" i="55"/>
  <c r="H124" i="83"/>
  <c r="J49" i="53"/>
  <c r="J102" i="53"/>
  <c r="I49" i="53"/>
  <c r="I102" i="53"/>
  <c r="F47" i="84"/>
  <c r="F58" i="84"/>
  <c r="G90" i="83"/>
  <c r="G61" i="55"/>
  <c r="G87" i="83"/>
  <c r="F55" i="84"/>
  <c r="H232" i="53"/>
  <c r="H234" i="53"/>
  <c r="G248" i="55"/>
  <c r="G156" i="55"/>
  <c r="G98" i="83"/>
  <c r="H245" i="55"/>
  <c r="H153" i="55"/>
  <c r="I94" i="55"/>
  <c r="H49" i="83"/>
  <c r="I98" i="55"/>
  <c r="H53" i="83"/>
  <c r="H105" i="55"/>
  <c r="G60" i="83"/>
  <c r="I25" i="84"/>
  <c r="H107" i="55"/>
  <c r="G62" i="83"/>
  <c r="I27" i="84"/>
  <c r="I229" i="53"/>
  <c r="J228" i="53"/>
  <c r="G95" i="83"/>
  <c r="F63" i="84"/>
  <c r="G94" i="83"/>
  <c r="H29" i="84"/>
  <c r="H106" i="55"/>
  <c r="G61" i="83"/>
  <c r="I26" i="84"/>
  <c r="H233" i="53"/>
  <c r="F60" i="84"/>
  <c r="G92" i="83"/>
  <c r="H258" i="55"/>
  <c r="H169" i="55"/>
  <c r="J221" i="53"/>
  <c r="I101" i="55"/>
  <c r="H56" i="83"/>
  <c r="J101" i="55"/>
  <c r="I241" i="53"/>
  <c r="J224" i="53"/>
  <c r="I51" i="53"/>
  <c r="I104" i="53"/>
  <c r="H126" i="83"/>
  <c r="J51" i="53"/>
  <c r="J104" i="53"/>
  <c r="H51" i="83"/>
  <c r="I96" i="55"/>
  <c r="I225" i="53"/>
  <c r="H238" i="53"/>
  <c r="G247" i="55"/>
  <c r="G155" i="55"/>
  <c r="I47" i="53"/>
  <c r="I100" i="53"/>
  <c r="H122" i="83"/>
  <c r="J47" i="53"/>
  <c r="J100" i="53"/>
  <c r="I256" i="55"/>
  <c r="I167" i="55"/>
  <c r="I221" i="53"/>
  <c r="H81" i="83"/>
  <c r="G49" i="84"/>
  <c r="H48" i="83"/>
  <c r="H71" i="83"/>
  <c r="I115" i="55"/>
  <c r="G89" i="83"/>
  <c r="F57" i="84"/>
  <c r="G65" i="83"/>
  <c r="I30" i="84"/>
  <c r="H110" i="55"/>
  <c r="G64" i="83"/>
  <c r="H109" i="55"/>
  <c r="H246" i="55"/>
  <c r="H154" i="55"/>
  <c r="H79" i="83"/>
  <c r="I224" i="53"/>
  <c r="G238" i="55"/>
  <c r="G146" i="55"/>
  <c r="G93" i="83"/>
  <c r="H28" i="84"/>
  <c r="G249" i="55"/>
  <c r="G157" i="55"/>
  <c r="G65" i="84"/>
  <c r="H101" i="83"/>
  <c r="H121" i="83"/>
  <c r="J46" i="53"/>
  <c r="J99" i="53"/>
  <c r="I46" i="53"/>
  <c r="I99" i="53"/>
  <c r="E276" i="84"/>
  <c r="E278" i="84"/>
  <c r="H241" i="55"/>
  <c r="H149" i="55"/>
  <c r="H55" i="83"/>
  <c r="I100" i="55"/>
  <c r="H102" i="55"/>
  <c r="G57" i="83"/>
  <c r="I22" i="84"/>
  <c r="H235" i="53"/>
  <c r="J229" i="53"/>
  <c r="I228" i="53"/>
  <c r="I226" i="53"/>
  <c r="G51" i="84"/>
  <c r="H83" i="83"/>
  <c r="G126" i="84"/>
  <c r="G128" i="84"/>
  <c r="I275" i="84"/>
  <c r="G127" i="84"/>
  <c r="H120" i="83"/>
  <c r="J45" i="53"/>
  <c r="J98" i="53"/>
  <c r="I45" i="53"/>
  <c r="I98" i="53"/>
  <c r="G161" i="55"/>
  <c r="G253" i="55"/>
  <c r="J167" i="55"/>
  <c r="J148" i="55"/>
  <c r="H8" i="108"/>
  <c r="J152" i="84"/>
  <c r="I172" i="84"/>
  <c r="G28" i="108"/>
  <c r="G17" i="108"/>
  <c r="G42" i="108"/>
  <c r="I161" i="84"/>
  <c r="I171" i="84"/>
  <c r="G27" i="108"/>
  <c r="H232" i="84"/>
  <c r="H234" i="84"/>
  <c r="I163" i="84"/>
  <c r="G19" i="108"/>
  <c r="J155" i="84"/>
  <c r="H11" i="108"/>
  <c r="I165" i="84"/>
  <c r="G21" i="108"/>
  <c r="I167" i="84"/>
  <c r="G23" i="108"/>
  <c r="J156" i="84"/>
  <c r="H12" i="108"/>
  <c r="J157" i="84"/>
  <c r="H13" i="108"/>
  <c r="J175" i="84"/>
  <c r="H31" i="108"/>
  <c r="J159" i="84"/>
  <c r="H15" i="108"/>
  <c r="J153" i="84"/>
  <c r="H9" i="108"/>
  <c r="I169" i="84"/>
  <c r="G25" i="108"/>
  <c r="I164" i="84"/>
  <c r="G20" i="108"/>
  <c r="J176" i="84"/>
  <c r="H32" i="108"/>
  <c r="J21" i="84"/>
  <c r="J160" i="84"/>
  <c r="H16" i="108"/>
  <c r="I162" i="84"/>
  <c r="G18" i="108"/>
  <c r="I170" i="84"/>
  <c r="G26" i="108"/>
  <c r="I166" i="84"/>
  <c r="G22" i="108"/>
  <c r="I168" i="84"/>
  <c r="G24" i="108"/>
  <c r="J158" i="84"/>
  <c r="H14" i="108"/>
  <c r="G282" i="84"/>
  <c r="G231" i="84"/>
  <c r="J170" i="55"/>
  <c r="I257" i="84"/>
  <c r="J98" i="55"/>
  <c r="J243" i="55"/>
  <c r="J18" i="84"/>
  <c r="H51" i="84"/>
  <c r="I253" i="84"/>
  <c r="H263" i="84"/>
  <c r="H262" i="84"/>
  <c r="I256" i="84"/>
  <c r="J99" i="55"/>
  <c r="J244" i="55"/>
  <c r="J19" i="84"/>
  <c r="H68" i="83"/>
  <c r="J33" i="84"/>
  <c r="I33" i="84"/>
  <c r="H67" i="83"/>
  <c r="J32" i="84"/>
  <c r="I32" i="84"/>
  <c r="H261" i="84"/>
  <c r="I260" i="84"/>
  <c r="I254" i="84"/>
  <c r="J100" i="55"/>
  <c r="J153" i="55"/>
  <c r="J20" i="84"/>
  <c r="I255" i="84"/>
  <c r="H66" i="83"/>
  <c r="J31" i="84"/>
  <c r="I31" i="84"/>
  <c r="J116" i="55"/>
  <c r="J169" i="55"/>
  <c r="J37" i="84"/>
  <c r="J115" i="55"/>
  <c r="J257" i="55"/>
  <c r="J36" i="84"/>
  <c r="J96" i="55"/>
  <c r="J241" i="55"/>
  <c r="J16" i="84"/>
  <c r="J245" i="84"/>
  <c r="H48" i="84"/>
  <c r="J94" i="55"/>
  <c r="J14" i="84"/>
  <c r="H47" i="84"/>
  <c r="J269" i="84"/>
  <c r="J265" i="84"/>
  <c r="H64" i="84"/>
  <c r="I252" i="84"/>
  <c r="J97" i="55"/>
  <c r="J242" i="55"/>
  <c r="J17" i="84"/>
  <c r="H50" i="84"/>
  <c r="J93" i="55"/>
  <c r="J13" i="84"/>
  <c r="H46" i="84"/>
  <c r="G280" i="84"/>
  <c r="G279" i="84"/>
  <c r="G281" i="84"/>
  <c r="F61" i="84"/>
  <c r="F62" i="84"/>
  <c r="G54" i="84"/>
  <c r="G144" i="84"/>
  <c r="G143" i="84"/>
  <c r="G145" i="84"/>
  <c r="J20" i="55"/>
  <c r="J152" i="55"/>
  <c r="I152" i="55"/>
  <c r="I244" i="55"/>
  <c r="I246" i="55"/>
  <c r="I154" i="55"/>
  <c r="I243" i="55"/>
  <c r="I151" i="55"/>
  <c r="H63" i="83"/>
  <c r="J108" i="55"/>
  <c r="I108" i="55"/>
  <c r="I233" i="53"/>
  <c r="H62" i="83"/>
  <c r="I107" i="55"/>
  <c r="G55" i="84"/>
  <c r="H87" i="83"/>
  <c r="H90" i="83"/>
  <c r="G58" i="84"/>
  <c r="H41" i="84"/>
  <c r="I237" i="53"/>
  <c r="I230" i="53"/>
  <c r="H248" i="55"/>
  <c r="H156" i="55"/>
  <c r="J231" i="53"/>
  <c r="I153" i="55"/>
  <c r="I245" i="55"/>
  <c r="H255" i="55"/>
  <c r="H163" i="55"/>
  <c r="I93" i="55"/>
  <c r="I241" i="55"/>
  <c r="I149" i="55"/>
  <c r="H250" i="55"/>
  <c r="H158" i="55"/>
  <c r="I147" i="55"/>
  <c r="I239" i="55"/>
  <c r="H238" i="55"/>
  <c r="H146" i="55"/>
  <c r="G12" i="84"/>
  <c r="E44" i="84"/>
  <c r="H247" i="55"/>
  <c r="H155" i="55"/>
  <c r="I110" i="55"/>
  <c r="H65" i="83"/>
  <c r="H93" i="83"/>
  <c r="I28" i="84"/>
  <c r="J235" i="53"/>
  <c r="H92" i="83"/>
  <c r="G60" i="84"/>
  <c r="H61" i="83"/>
  <c r="I106" i="55"/>
  <c r="G63" i="84"/>
  <c r="H95" i="83"/>
  <c r="H160" i="55"/>
  <c r="H252" i="55"/>
  <c r="J237" i="53"/>
  <c r="H249" i="55"/>
  <c r="H157" i="55"/>
  <c r="H88" i="83"/>
  <c r="G56" i="84"/>
  <c r="J230" i="53"/>
  <c r="I238" i="53"/>
  <c r="I232" i="53"/>
  <c r="I231" i="53"/>
  <c r="I258" i="55"/>
  <c r="I169" i="55"/>
  <c r="H57" i="83"/>
  <c r="I102" i="55"/>
  <c r="H58" i="83"/>
  <c r="I103" i="55"/>
  <c r="I236" i="53"/>
  <c r="J245" i="55"/>
  <c r="I234" i="53"/>
  <c r="J233" i="53"/>
  <c r="J234" i="53"/>
  <c r="H254" i="55"/>
  <c r="H162" i="55"/>
  <c r="I257" i="55"/>
  <c r="I168" i="55"/>
  <c r="G47" i="84"/>
  <c r="H64" i="83"/>
  <c r="J109" i="55"/>
  <c r="I109" i="55"/>
  <c r="H89" i="83"/>
  <c r="G57" i="84"/>
  <c r="J168" i="55"/>
  <c r="I235" i="53"/>
  <c r="J246" i="55"/>
  <c r="J154" i="55"/>
  <c r="H251" i="55"/>
  <c r="H159" i="55"/>
  <c r="H94" i="83"/>
  <c r="I29" i="84"/>
  <c r="H60" i="83"/>
  <c r="I105" i="55"/>
  <c r="J239" i="55"/>
  <c r="J147" i="55"/>
  <c r="I242" i="55"/>
  <c r="I150" i="55"/>
  <c r="H61" i="55"/>
  <c r="H253" i="55"/>
  <c r="H161" i="55"/>
  <c r="F276" i="84"/>
  <c r="F278" i="84"/>
  <c r="H59" i="83"/>
  <c r="I104" i="55"/>
  <c r="G59" i="84"/>
  <c r="H91" i="83"/>
  <c r="J238" i="53"/>
  <c r="J232" i="53"/>
  <c r="J236" i="53"/>
  <c r="J149" i="55"/>
  <c r="J258" i="55"/>
  <c r="H54" i="84"/>
  <c r="H17" i="108"/>
  <c r="H42" i="108"/>
  <c r="J161" i="84"/>
  <c r="I232" i="84"/>
  <c r="I234" i="84"/>
  <c r="J29" i="84"/>
  <c r="J168" i="84"/>
  <c r="H24" i="108"/>
  <c r="J162" i="84"/>
  <c r="H18" i="108"/>
  <c r="J166" i="84"/>
  <c r="H22" i="108"/>
  <c r="J164" i="84"/>
  <c r="H20" i="108"/>
  <c r="J163" i="84"/>
  <c r="H19" i="108"/>
  <c r="J28" i="84"/>
  <c r="J167" i="84"/>
  <c r="H23" i="108"/>
  <c r="J165" i="84"/>
  <c r="H21" i="108"/>
  <c r="J169" i="84"/>
  <c r="H25" i="108"/>
  <c r="H282" i="84"/>
  <c r="H231" i="84"/>
  <c r="J151" i="55"/>
  <c r="I261" i="84"/>
  <c r="J263" i="84"/>
  <c r="J105" i="55"/>
  <c r="J25" i="84"/>
  <c r="J110" i="55"/>
  <c r="J163" i="55"/>
  <c r="J30" i="84"/>
  <c r="J261" i="84"/>
  <c r="J250" i="84"/>
  <c r="I262" i="84"/>
  <c r="J249" i="84"/>
  <c r="J107" i="55"/>
  <c r="J252" i="55"/>
  <c r="J27" i="84"/>
  <c r="J262" i="84"/>
  <c r="J248" i="84"/>
  <c r="J104" i="55"/>
  <c r="J249" i="55"/>
  <c r="J24" i="84"/>
  <c r="J103" i="55"/>
  <c r="J248" i="55"/>
  <c r="J23" i="84"/>
  <c r="J106" i="55"/>
  <c r="J159" i="55"/>
  <c r="J26" i="84"/>
  <c r="I263" i="84"/>
  <c r="H53" i="84"/>
  <c r="H52" i="84"/>
  <c r="J267" i="84"/>
  <c r="H66" i="84"/>
  <c r="J266" i="84"/>
  <c r="H65" i="84"/>
  <c r="J246" i="84"/>
  <c r="H49" i="84"/>
  <c r="J244" i="84"/>
  <c r="J150" i="55"/>
  <c r="H128" i="84"/>
  <c r="H127" i="84"/>
  <c r="H144" i="84"/>
  <c r="J275" i="84"/>
  <c r="H126" i="84"/>
  <c r="H143" i="84"/>
  <c r="J102" i="55"/>
  <c r="J247" i="55"/>
  <c r="J22" i="84"/>
  <c r="H55" i="84"/>
  <c r="J247" i="84"/>
  <c r="J243" i="84"/>
  <c r="H279" i="84"/>
  <c r="H281" i="84"/>
  <c r="H280" i="84"/>
  <c r="G62" i="84"/>
  <c r="G61" i="84"/>
  <c r="E13" i="103"/>
  <c r="Z13" i="103" s="1"/>
  <c r="J254" i="55"/>
  <c r="J162" i="55"/>
  <c r="I248" i="55"/>
  <c r="I156" i="55"/>
  <c r="I255" i="55"/>
  <c r="I163" i="55"/>
  <c r="I249" i="55"/>
  <c r="I157" i="55"/>
  <c r="J156" i="55"/>
  <c r="I247" i="55"/>
  <c r="I155" i="55"/>
  <c r="H12" i="84"/>
  <c r="F44" i="84"/>
  <c r="J158" i="55"/>
  <c r="J250" i="55"/>
  <c r="I238" i="55"/>
  <c r="I146" i="55"/>
  <c r="J238" i="55"/>
  <c r="J146" i="55"/>
  <c r="I253" i="55"/>
  <c r="I161" i="55"/>
  <c r="I252" i="55"/>
  <c r="I160" i="55"/>
  <c r="I250" i="55"/>
  <c r="I158" i="55"/>
  <c r="I41" i="84"/>
  <c r="J160" i="55"/>
  <c r="J61" i="55"/>
  <c r="I254" i="55"/>
  <c r="I162" i="55"/>
  <c r="I251" i="55"/>
  <c r="I159" i="55"/>
  <c r="J255" i="55"/>
  <c r="G276" i="84"/>
  <c r="G278" i="84"/>
  <c r="I61" i="55"/>
  <c r="J253" i="55"/>
  <c r="J161" i="55"/>
  <c r="H62" i="84"/>
  <c r="J155" i="55"/>
  <c r="J157" i="55"/>
  <c r="J251" i="55"/>
  <c r="H61" i="84"/>
  <c r="J232" i="84"/>
  <c r="J234" i="84"/>
  <c r="I282" i="84"/>
  <c r="I231" i="84"/>
  <c r="H145" i="84"/>
  <c r="J256" i="84"/>
  <c r="J254" i="84"/>
  <c r="J257" i="84"/>
  <c r="J41" i="84"/>
  <c r="J255" i="84"/>
  <c r="J253" i="84"/>
  <c r="H57" i="84"/>
  <c r="H60" i="84"/>
  <c r="H59" i="84"/>
  <c r="J260" i="84"/>
  <c r="H63" i="84"/>
  <c r="H58" i="84"/>
  <c r="H56" i="84"/>
  <c r="J252" i="84"/>
  <c r="I280" i="84"/>
  <c r="I281" i="84"/>
  <c r="I279" i="84"/>
  <c r="I12" i="84"/>
  <c r="G44" i="84"/>
  <c r="H276" i="84"/>
  <c r="H278" i="84"/>
  <c r="L11" i="55"/>
  <c r="E4" i="103"/>
  <c r="H44" i="84"/>
  <c r="J231" i="84"/>
  <c r="J280" i="84"/>
  <c r="J12" i="84"/>
  <c r="J278" i="84"/>
  <c r="J282" i="84"/>
  <c r="J279" i="84"/>
  <c r="J281" i="84"/>
  <c r="I276" i="84"/>
  <c r="I278" i="84"/>
  <c r="J276" i="84"/>
  <c r="Z4" i="103"/>
  <c r="K4" i="103"/>
  <c r="T12" i="103"/>
  <c r="R12" i="103"/>
  <c r="R7" i="103"/>
  <c r="T7" i="103"/>
  <c r="T6" i="103"/>
  <c r="R11" i="103"/>
  <c r="T11" i="103"/>
  <c r="R9" i="103"/>
  <c r="T9" i="103"/>
  <c r="K9" i="103"/>
  <c r="K12" i="103"/>
  <c r="K11" i="103"/>
  <c r="K7" i="103"/>
  <c r="P18" i="103"/>
  <c r="K6" i="103"/>
  <c r="R6" i="103"/>
  <c r="R18" i="103"/>
  <c r="E24" i="103"/>
  <c r="G24" i="103"/>
  <c r="E23" i="103"/>
  <c r="G23" i="103"/>
  <c r="G26" i="103"/>
  <c r="U1233" i="95"/>
  <c r="U1239" i="95"/>
  <c r="K126" i="57"/>
  <c r="K86" i="57"/>
  <c r="M138" i="57"/>
  <c r="O137" i="57"/>
  <c r="K134" i="57"/>
  <c r="D9" i="120"/>
  <c r="N1233" i="95"/>
  <c r="F9" i="120"/>
  <c r="C9" i="68"/>
  <c r="S1390" i="95"/>
  <c r="F32" i="92"/>
  <c r="F37" i="92"/>
  <c r="C35" i="69"/>
  <c r="N29" i="57"/>
  <c r="D35" i="69"/>
  <c r="E35" i="69"/>
  <c r="F35" i="69"/>
  <c r="G35" i="69"/>
  <c r="H35" i="69"/>
  <c r="D35" i="68"/>
  <c r="E35" i="68"/>
  <c r="F35" i="68"/>
  <c r="G35" i="68"/>
  <c r="H35" i="68"/>
  <c r="K111" i="29"/>
  <c r="I35" i="68"/>
  <c r="T18" i="103" l="1"/>
  <c r="A228" i="55"/>
  <c r="E1711" i="95"/>
  <c r="E191" i="55"/>
  <c r="I191" i="55"/>
  <c r="E1710" i="95"/>
  <c r="A227" i="55"/>
  <c r="K13" i="103"/>
  <c r="D14" i="21"/>
  <c r="G39" i="61"/>
  <c r="I9" i="61"/>
  <c r="H286" i="84" s="1"/>
  <c r="G287" i="84"/>
  <c r="D287" i="84"/>
  <c r="D289" i="84" s="1"/>
  <c r="F9" i="61"/>
  <c r="E286" i="84" s="1"/>
  <c r="H9" i="61"/>
  <c r="G286" i="84" s="1"/>
  <c r="F287" i="84"/>
  <c r="J39" i="61"/>
  <c r="G14" i="21"/>
  <c r="I177" i="29" s="1"/>
  <c r="K39" i="61"/>
  <c r="H14" i="21"/>
  <c r="E287" i="84"/>
  <c r="E289" i="84" s="1"/>
  <c r="G9" i="61"/>
  <c r="F286" i="84" s="1"/>
  <c r="F14" i="21"/>
  <c r="I39" i="61"/>
  <c r="E39" i="61"/>
  <c r="B14" i="21"/>
  <c r="D129" i="29" s="1"/>
  <c r="F39" i="61"/>
  <c r="C14" i="21"/>
  <c r="E145" i="29" s="1"/>
  <c r="H39" i="61"/>
  <c r="E14" i="21"/>
  <c r="J9" i="61"/>
  <c r="I286" i="84" s="1"/>
  <c r="H287" i="84"/>
  <c r="H289" i="84" s="1"/>
  <c r="K9" i="61"/>
  <c r="J286" i="84" s="1"/>
  <c r="J289" i="84" s="1"/>
  <c r="I287" i="84"/>
  <c r="I289" i="84" s="1"/>
  <c r="I129" i="29"/>
  <c r="G177" i="29"/>
  <c r="D1868" i="95"/>
  <c r="E129" i="29"/>
  <c r="D145" i="29"/>
  <c r="E36" i="29"/>
  <c r="I38" i="29"/>
  <c r="E161" i="29"/>
  <c r="D177" i="29"/>
  <c r="G161" i="29"/>
  <c r="J36" i="29"/>
  <c r="J175" i="29"/>
  <c r="I143" i="29"/>
  <c r="D142" i="29"/>
  <c r="D35" i="29"/>
  <c r="D126" i="29"/>
  <c r="I145" i="29"/>
  <c r="D161" i="29"/>
  <c r="J127" i="29"/>
  <c r="I175" i="29"/>
  <c r="E175" i="29"/>
  <c r="E159" i="29"/>
  <c r="D158" i="29"/>
  <c r="I161" i="29"/>
  <c r="E177" i="29"/>
  <c r="G129" i="29"/>
  <c r="E38" i="29"/>
  <c r="D38" i="29"/>
  <c r="E143" i="29"/>
  <c r="J23" i="21"/>
  <c r="I35" i="29"/>
  <c r="H159" i="29"/>
  <c r="H175" i="29"/>
  <c r="G159" i="29"/>
  <c r="G142" i="29"/>
  <c r="F175" i="29"/>
  <c r="F36" i="29"/>
  <c r="E126" i="29"/>
  <c r="F130" i="29"/>
  <c r="G146" i="29"/>
  <c r="G130" i="29"/>
  <c r="H127" i="29"/>
  <c r="G143" i="29"/>
  <c r="G36" i="29"/>
  <c r="G158" i="29"/>
  <c r="E158" i="29"/>
  <c r="E142" i="29"/>
  <c r="F162" i="29"/>
  <c r="G34" i="103"/>
  <c r="G36" i="103" s="1"/>
  <c r="G63" i="55"/>
  <c r="F64" i="55"/>
  <c r="J236" i="55"/>
  <c r="J143" i="55"/>
  <c r="J191" i="55" s="1"/>
  <c r="E132" i="53"/>
  <c r="E199" i="53"/>
  <c r="G199" i="53"/>
  <c r="B69" i="81"/>
  <c r="B44" i="81"/>
  <c r="F11" i="53"/>
  <c r="F64" i="53" s="1"/>
  <c r="D19" i="81"/>
  <c r="C23" i="81"/>
  <c r="D15" i="81"/>
  <c r="D17" i="81"/>
  <c r="F17" i="81" s="1"/>
  <c r="H17" i="81" s="1"/>
  <c r="D20" i="81"/>
  <c r="D18" i="81"/>
  <c r="D22" i="81"/>
  <c r="D14" i="81"/>
  <c r="D21" i="81"/>
  <c r="AC685" i="95"/>
  <c r="D11" i="53"/>
  <c r="D64" i="53" s="1"/>
  <c r="D36" i="81"/>
  <c r="D33" i="81"/>
  <c r="D35" i="81"/>
  <c r="F35" i="81" s="1"/>
  <c r="H35" i="81" s="1"/>
  <c r="D34" i="81"/>
  <c r="F94" i="81"/>
  <c r="B70" i="81"/>
  <c r="B45" i="81"/>
  <c r="AC686" i="95"/>
  <c r="B95" i="81"/>
  <c r="N20" i="102"/>
  <c r="G37" i="102" s="1"/>
  <c r="D179" i="72"/>
  <c r="B33" i="21" s="1"/>
  <c r="P16" i="61"/>
  <c r="R9" i="61"/>
  <c r="R16" i="61" s="1"/>
  <c r="Q16" i="61"/>
  <c r="P9" i="102"/>
  <c r="F135" i="72"/>
  <c r="E176" i="72"/>
  <c r="E175" i="72"/>
  <c r="O16" i="61"/>
  <c r="G20" i="102"/>
  <c r="H36" i="102" s="1"/>
  <c r="G34" i="72"/>
  <c r="F35" i="72"/>
  <c r="E12" i="29"/>
  <c r="E98" i="29"/>
  <c r="O1687" i="95"/>
  <c r="V1380" i="95"/>
  <c r="F7" i="94"/>
  <c r="M1406" i="95"/>
  <c r="U1406" i="95" s="1"/>
  <c r="G31" i="57"/>
  <c r="U1167" i="95" s="1"/>
  <c r="N1167" i="95"/>
  <c r="C83" i="118"/>
  <c r="C84" i="118" s="1"/>
  <c r="B48" i="21" s="1"/>
  <c r="E83" i="118"/>
  <c r="E84" i="118" s="1"/>
  <c r="D48" i="21" s="1"/>
  <c r="E86" i="119"/>
  <c r="E87" i="119" s="1"/>
  <c r="G86" i="119"/>
  <c r="G87" i="119" s="1"/>
  <c r="F10" i="62"/>
  <c r="F83" i="118"/>
  <c r="F84" i="118" s="1"/>
  <c r="E48" i="21" s="1"/>
  <c r="C22" i="91"/>
  <c r="G83" i="118"/>
  <c r="G84" i="118" s="1"/>
  <c r="F48" i="21" s="1"/>
  <c r="F86" i="119"/>
  <c r="F87" i="119" s="1"/>
  <c r="D86" i="119"/>
  <c r="D87" i="119" s="1"/>
  <c r="C86" i="119"/>
  <c r="C87" i="119" s="1"/>
  <c r="C46" i="118"/>
  <c r="C49" i="119"/>
  <c r="G50" i="57"/>
  <c r="G49" i="57"/>
  <c r="U1142" i="95" s="1"/>
  <c r="U1141" i="95"/>
  <c r="M1409" i="95"/>
  <c r="U1409" i="95" s="1"/>
  <c r="F10" i="94"/>
  <c r="C21" i="68"/>
  <c r="U1281" i="95"/>
  <c r="U1263" i="95"/>
  <c r="AN1280" i="95" s="1"/>
  <c r="D8" i="62"/>
  <c r="D8" i="94"/>
  <c r="D8" i="120"/>
  <c r="F8" i="120" s="1"/>
  <c r="U1284" i="95"/>
  <c r="AN1284" i="95" s="1"/>
  <c r="D9" i="62"/>
  <c r="D9" i="94"/>
  <c r="G57" i="57"/>
  <c r="G45" i="57"/>
  <c r="G46" i="57" s="1"/>
  <c r="G86" i="57" s="1"/>
  <c r="C34" i="118"/>
  <c r="F35" i="118" s="1"/>
  <c r="C12" i="91"/>
  <c r="C37" i="119"/>
  <c r="F5" i="62"/>
  <c r="G35" i="118"/>
  <c r="H35" i="118"/>
  <c r="D35" i="118"/>
  <c r="C35" i="118"/>
  <c r="C37" i="118" s="1"/>
  <c r="N34" i="118"/>
  <c r="I35" i="118"/>
  <c r="H26" i="21" l="1"/>
  <c r="J305" i="84"/>
  <c r="J307" i="84" s="1"/>
  <c r="J314" i="84" s="1"/>
  <c r="K52" i="61"/>
  <c r="I52" i="61"/>
  <c r="F26" i="21"/>
  <c r="H305" i="84"/>
  <c r="H307" i="84" s="1"/>
  <c r="H314" i="84" s="1"/>
  <c r="H145" i="29"/>
  <c r="H129" i="29"/>
  <c r="H161" i="29"/>
  <c r="H177" i="29"/>
  <c r="H38" i="29"/>
  <c r="J161" i="29"/>
  <c r="J177" i="29"/>
  <c r="J38" i="29"/>
  <c r="J145" i="29"/>
  <c r="J129" i="29"/>
  <c r="D305" i="84"/>
  <c r="D307" i="84" s="1"/>
  <c r="D314" i="84" s="1"/>
  <c r="E52" i="61"/>
  <c r="B26" i="21"/>
  <c r="J52" i="61"/>
  <c r="G26" i="21"/>
  <c r="I305" i="84"/>
  <c r="I307" i="84" s="1"/>
  <c r="I314" i="84" s="1"/>
  <c r="G38" i="29"/>
  <c r="G145" i="29"/>
  <c r="F289" i="84"/>
  <c r="E305" i="84"/>
  <c r="E307" i="84" s="1"/>
  <c r="E314" i="84" s="1"/>
  <c r="F52" i="61"/>
  <c r="C26" i="21"/>
  <c r="G289" i="84"/>
  <c r="F177" i="29"/>
  <c r="F38" i="29"/>
  <c r="F145" i="29"/>
  <c r="F161" i="29"/>
  <c r="F129" i="29"/>
  <c r="B19" i="69"/>
  <c r="C19" i="69" s="1"/>
  <c r="D19" i="69" s="1"/>
  <c r="E19" i="69" s="1"/>
  <c r="F19" i="69" s="1"/>
  <c r="G19" i="69" s="1"/>
  <c r="H19" i="69" s="1"/>
  <c r="F78" i="55"/>
  <c r="F131" i="55" s="1"/>
  <c r="F69" i="55"/>
  <c r="F122" i="55" s="1"/>
  <c r="G64" i="55"/>
  <c r="H63" i="55"/>
  <c r="D28" i="81"/>
  <c r="D24" i="81"/>
  <c r="D29" i="81"/>
  <c r="D25" i="81"/>
  <c r="D26" i="81"/>
  <c r="D30" i="81"/>
  <c r="D27" i="81"/>
  <c r="D31" i="81"/>
  <c r="F21" i="81"/>
  <c r="H21" i="81" s="1"/>
  <c r="B99" i="81"/>
  <c r="H11" i="53"/>
  <c r="H64" i="53" s="1"/>
  <c r="G94" i="81"/>
  <c r="F36" i="81"/>
  <c r="H36" i="81" s="1"/>
  <c r="B112" i="81"/>
  <c r="B92" i="81"/>
  <c r="F14" i="81"/>
  <c r="H14" i="81" s="1"/>
  <c r="F132" i="53"/>
  <c r="F199" i="53"/>
  <c r="G132" i="53"/>
  <c r="B61" i="81"/>
  <c r="B86" i="81"/>
  <c r="C86" i="81" s="1"/>
  <c r="D86" i="81" s="1"/>
  <c r="E86" i="81" s="1"/>
  <c r="F86" i="81" s="1"/>
  <c r="G86" i="81" s="1"/>
  <c r="H86" i="81" s="1"/>
  <c r="B96" i="81"/>
  <c r="F18" i="81"/>
  <c r="H18" i="81" s="1"/>
  <c r="D15" i="72"/>
  <c r="D40" i="72" s="1"/>
  <c r="C69" i="81"/>
  <c r="F33" i="81"/>
  <c r="H33" i="81" s="1"/>
  <c r="B109" i="81"/>
  <c r="C109" i="81" s="1"/>
  <c r="D109" i="81" s="1"/>
  <c r="E109" i="81" s="1"/>
  <c r="F109" i="81" s="1"/>
  <c r="G109" i="81" s="1"/>
  <c r="H109" i="81" s="1"/>
  <c r="B98" i="81"/>
  <c r="F20" i="81"/>
  <c r="H20" i="81" s="1"/>
  <c r="F19" i="81"/>
  <c r="H19" i="81" s="1"/>
  <c r="B97" i="81"/>
  <c r="B110" i="81"/>
  <c r="B111" i="81"/>
  <c r="F34" i="81"/>
  <c r="H34" i="81" s="1"/>
  <c r="D199" i="53"/>
  <c r="D132" i="53"/>
  <c r="B100" i="81"/>
  <c r="C100" i="81" s="1"/>
  <c r="D100" i="81" s="1"/>
  <c r="E100" i="81" s="1"/>
  <c r="F100" i="81" s="1"/>
  <c r="G100" i="81" s="1"/>
  <c r="H100" i="81" s="1"/>
  <c r="F22" i="81"/>
  <c r="H22" i="81" s="1"/>
  <c r="F15" i="81"/>
  <c r="H15" i="81" s="1"/>
  <c r="B93" i="81"/>
  <c r="C44" i="81"/>
  <c r="D13" i="55"/>
  <c r="D71" i="55" s="1"/>
  <c r="D124" i="55" s="1"/>
  <c r="D12" i="53"/>
  <c r="D65" i="53" s="1"/>
  <c r="C95" i="81"/>
  <c r="C45" i="81"/>
  <c r="D14" i="55"/>
  <c r="K686" i="95"/>
  <c r="M686" i="95" s="1"/>
  <c r="I70" i="81"/>
  <c r="D16" i="72"/>
  <c r="C70" i="81"/>
  <c r="B41" i="21"/>
  <c r="B65" i="21"/>
  <c r="H34" i="72"/>
  <c r="G35" i="72"/>
  <c r="E179" i="72"/>
  <c r="C33" i="21" s="1"/>
  <c r="G135" i="72"/>
  <c r="F175" i="72"/>
  <c r="F176" i="72"/>
  <c r="U1150" i="95"/>
  <c r="F15" i="122"/>
  <c r="G15" i="122" s="1"/>
  <c r="G47" i="118"/>
  <c r="C49" i="118"/>
  <c r="D46" i="118" s="1"/>
  <c r="D49" i="118" s="1"/>
  <c r="E46" i="118" s="1"/>
  <c r="C47" i="118"/>
  <c r="C48" i="118" s="1"/>
  <c r="H47" i="118"/>
  <c r="D47" i="118"/>
  <c r="N46" i="118"/>
  <c r="I47" i="118"/>
  <c r="E47" i="118"/>
  <c r="F47" i="118"/>
  <c r="H98" i="29"/>
  <c r="H62" i="29"/>
  <c r="H12" i="29"/>
  <c r="F9" i="94"/>
  <c r="V1382" i="95"/>
  <c r="M1408" i="95"/>
  <c r="U1408" i="95" s="1"/>
  <c r="C20" i="68"/>
  <c r="C19" i="68"/>
  <c r="M1407" i="95"/>
  <c r="U1407" i="95" s="1"/>
  <c r="V1381" i="95"/>
  <c r="F8" i="94"/>
  <c r="C52" i="118"/>
  <c r="C18" i="91"/>
  <c r="F9" i="62"/>
  <c r="C55" i="119"/>
  <c r="F8" i="62"/>
  <c r="C58" i="118"/>
  <c r="C20" i="91"/>
  <c r="C61" i="119"/>
  <c r="F14" i="122"/>
  <c r="G14" i="122" s="1"/>
  <c r="U1143" i="95"/>
  <c r="G12" i="29"/>
  <c r="G62" i="29"/>
  <c r="G98" i="29"/>
  <c r="F12" i="29"/>
  <c r="F98" i="29"/>
  <c r="F62" i="29"/>
  <c r="H50" i="119"/>
  <c r="D50" i="119"/>
  <c r="C50" i="119"/>
  <c r="C51" i="119" s="1"/>
  <c r="D51" i="119" s="1"/>
  <c r="E51" i="119" s="1"/>
  <c r="G50" i="119"/>
  <c r="I50" i="119"/>
  <c r="E50" i="119"/>
  <c r="F50" i="119"/>
  <c r="N49" i="119"/>
  <c r="D12" i="29"/>
  <c r="D98" i="29"/>
  <c r="D62" i="29"/>
  <c r="F13" i="122"/>
  <c r="G13" i="122" s="1"/>
  <c r="G17" i="122" s="1"/>
  <c r="G23" i="122" s="1"/>
  <c r="D7" i="121"/>
  <c r="E7" i="121" s="1"/>
  <c r="E13" i="121" s="1"/>
  <c r="E19" i="121" s="1"/>
  <c r="F3" i="121" s="1"/>
  <c r="F165" i="72"/>
  <c r="E165" i="72"/>
  <c r="D6" i="120"/>
  <c r="D165" i="72"/>
  <c r="D6" i="62"/>
  <c r="D6" i="94"/>
  <c r="G165" i="72"/>
  <c r="I86" i="57"/>
  <c r="I88" i="57" s="1"/>
  <c r="J88" i="57" s="1"/>
  <c r="H19" i="122"/>
  <c r="E35" i="118"/>
  <c r="N37" i="119"/>
  <c r="H38" i="119"/>
  <c r="F38" i="119"/>
  <c r="I38" i="119"/>
  <c r="E38" i="119"/>
  <c r="G38" i="119"/>
  <c r="D38" i="119"/>
  <c r="C38" i="119"/>
  <c r="D34" i="118"/>
  <c r="H11" i="122"/>
  <c r="N37" i="118"/>
  <c r="N35" i="118"/>
  <c r="C36" i="118"/>
  <c r="H52" i="61" l="1"/>
  <c r="G305" i="84"/>
  <c r="G307" i="84" s="1"/>
  <c r="G314" i="84" s="1"/>
  <c r="E26" i="21"/>
  <c r="F305" i="84"/>
  <c r="F307" i="84" s="1"/>
  <c r="F314" i="84" s="1"/>
  <c r="G52" i="61"/>
  <c r="D26" i="21"/>
  <c r="I63" i="55"/>
  <c r="H64" i="55"/>
  <c r="G78" i="55"/>
  <c r="G131" i="55" s="1"/>
  <c r="G69" i="55"/>
  <c r="G122" i="55" s="1"/>
  <c r="B75" i="81"/>
  <c r="B50" i="81"/>
  <c r="AC691" i="95"/>
  <c r="B85" i="81"/>
  <c r="B60" i="81"/>
  <c r="B47" i="81"/>
  <c r="B72" i="81"/>
  <c r="AC688" i="95"/>
  <c r="B84" i="81"/>
  <c r="B59" i="81"/>
  <c r="C96" i="81"/>
  <c r="D13" i="53"/>
  <c r="D66" i="53" s="1"/>
  <c r="C112" i="81"/>
  <c r="D29" i="53"/>
  <c r="D82" i="53" s="1"/>
  <c r="F27" i="81"/>
  <c r="H27" i="81" s="1"/>
  <c r="B104" i="81"/>
  <c r="B106" i="81"/>
  <c r="F29" i="81"/>
  <c r="H29" i="81" s="1"/>
  <c r="AC684" i="95"/>
  <c r="B68" i="81"/>
  <c r="B43" i="81"/>
  <c r="C97" i="81"/>
  <c r="D14" i="53"/>
  <c r="D67" i="53" s="1"/>
  <c r="B46" i="81"/>
  <c r="AC687" i="95"/>
  <c r="B71" i="81"/>
  <c r="D9" i="53"/>
  <c r="D62" i="53" s="1"/>
  <c r="C92" i="81"/>
  <c r="B102" i="81"/>
  <c r="F25" i="81"/>
  <c r="H25" i="81" s="1"/>
  <c r="E13" i="55"/>
  <c r="E71" i="55" s="1"/>
  <c r="E124" i="55" s="1"/>
  <c r="D44" i="81"/>
  <c r="C111" i="81"/>
  <c r="D28" i="53"/>
  <c r="D81" i="53" s="1"/>
  <c r="AC689" i="95"/>
  <c r="B73" i="81"/>
  <c r="B48" i="81"/>
  <c r="D69" i="81"/>
  <c r="E15" i="72"/>
  <c r="E40" i="72" s="1"/>
  <c r="B62" i="81"/>
  <c r="B87" i="81"/>
  <c r="C87" i="81" s="1"/>
  <c r="D87" i="81" s="1"/>
  <c r="E87" i="81" s="1"/>
  <c r="F87" i="81" s="1"/>
  <c r="G87" i="81" s="1"/>
  <c r="H87" i="81" s="1"/>
  <c r="D16" i="53"/>
  <c r="D69" i="53" s="1"/>
  <c r="C99" i="81"/>
  <c r="B107" i="81"/>
  <c r="F30" i="81"/>
  <c r="H30" i="81" s="1"/>
  <c r="F24" i="81"/>
  <c r="H24" i="81" s="1"/>
  <c r="B101" i="81"/>
  <c r="H132" i="53"/>
  <c r="H199" i="53"/>
  <c r="F31" i="81"/>
  <c r="H31" i="81" s="1"/>
  <c r="B108" i="81"/>
  <c r="D10" i="53"/>
  <c r="D63" i="53" s="1"/>
  <c r="C93" i="81"/>
  <c r="C110" i="81"/>
  <c r="D27" i="53"/>
  <c r="D80" i="53" s="1"/>
  <c r="C98" i="81"/>
  <c r="D15" i="53"/>
  <c r="D68" i="53" s="1"/>
  <c r="C61" i="81"/>
  <c r="D30" i="55"/>
  <c r="D88" i="55" s="1"/>
  <c r="B67" i="81"/>
  <c r="AC683" i="95"/>
  <c r="B42" i="81"/>
  <c r="I11" i="53"/>
  <c r="I64" i="53" s="1"/>
  <c r="H94" i="81"/>
  <c r="J11" i="53" s="1"/>
  <c r="J64" i="53" s="1"/>
  <c r="B49" i="81"/>
  <c r="B74" i="81"/>
  <c r="AC690" i="95"/>
  <c r="B103" i="81"/>
  <c r="F26" i="81"/>
  <c r="H26" i="81" s="1"/>
  <c r="F28" i="81"/>
  <c r="H28" i="81" s="1"/>
  <c r="B105" i="81"/>
  <c r="D41" i="72"/>
  <c r="D72" i="55"/>
  <c r="D125" i="55" s="1"/>
  <c r="E14" i="55"/>
  <c r="N686" i="95"/>
  <c r="P686" i="95" s="1"/>
  <c r="D45" i="81"/>
  <c r="E12" i="53"/>
  <c r="E65" i="53" s="1"/>
  <c r="D95" i="81"/>
  <c r="D70" i="81"/>
  <c r="E16" i="72"/>
  <c r="J70" i="81"/>
  <c r="D200" i="53"/>
  <c r="D133" i="53"/>
  <c r="D133" i="29"/>
  <c r="C26" i="68"/>
  <c r="D165" i="29"/>
  <c r="D149" i="29"/>
  <c r="D181" i="29"/>
  <c r="H135" i="72"/>
  <c r="G175" i="72"/>
  <c r="G176" i="72"/>
  <c r="C65" i="21"/>
  <c r="C41" i="21"/>
  <c r="F179" i="72"/>
  <c r="D33" i="21" s="1"/>
  <c r="H35" i="72"/>
  <c r="I34" i="72"/>
  <c r="I59" i="118"/>
  <c r="E59" i="118"/>
  <c r="F59" i="118"/>
  <c r="C59" i="118"/>
  <c r="C60" i="118" s="1"/>
  <c r="N58" i="118"/>
  <c r="G59" i="118"/>
  <c r="D59" i="118"/>
  <c r="D60" i="118" s="1"/>
  <c r="H59" i="118"/>
  <c r="N47" i="118"/>
  <c r="N48" i="118" s="1"/>
  <c r="N49" i="118"/>
  <c r="O46" i="118" s="1"/>
  <c r="E49" i="118"/>
  <c r="F46" i="118" s="1"/>
  <c r="F49" i="118" s="1"/>
  <c r="G46" i="118" s="1"/>
  <c r="G49" i="118" s="1"/>
  <c r="H46" i="118" s="1"/>
  <c r="H49" i="118" s="1"/>
  <c r="I46" i="118" s="1"/>
  <c r="I49" i="118" s="1"/>
  <c r="N50" i="119"/>
  <c r="N51" i="119" s="1"/>
  <c r="N52" i="118"/>
  <c r="F53" i="118"/>
  <c r="G53" i="118"/>
  <c r="C53" i="118"/>
  <c r="C54" i="118" s="1"/>
  <c r="D54" i="118" s="1"/>
  <c r="E54" i="118" s="1"/>
  <c r="H53" i="118"/>
  <c r="D53" i="118"/>
  <c r="E53" i="118"/>
  <c r="I53" i="118"/>
  <c r="C52" i="119"/>
  <c r="D49" i="119" s="1"/>
  <c r="D52" i="119" s="1"/>
  <c r="E49" i="119" s="1"/>
  <c r="E52" i="119" s="1"/>
  <c r="F49" i="119" s="1"/>
  <c r="F52" i="119" s="1"/>
  <c r="G49" i="119" s="1"/>
  <c r="G52" i="119" s="1"/>
  <c r="H49" i="119" s="1"/>
  <c r="H52" i="119" s="1"/>
  <c r="I49" i="119" s="1"/>
  <c r="I52" i="119" s="1"/>
  <c r="G62" i="119"/>
  <c r="N61" i="119"/>
  <c r="I62" i="119"/>
  <c r="C62" i="119"/>
  <c r="C63" i="119" s="1"/>
  <c r="H62" i="119"/>
  <c r="D62" i="119"/>
  <c r="F62" i="119"/>
  <c r="E62" i="119"/>
  <c r="F56" i="119"/>
  <c r="N55" i="119"/>
  <c r="C56" i="119"/>
  <c r="C57" i="119" s="1"/>
  <c r="D57" i="119" s="1"/>
  <c r="E57" i="119" s="1"/>
  <c r="F57" i="119" s="1"/>
  <c r="G57" i="119" s="1"/>
  <c r="H57" i="119" s="1"/>
  <c r="G56" i="119"/>
  <c r="E56" i="119"/>
  <c r="I56" i="119"/>
  <c r="D56" i="119"/>
  <c r="H56" i="119"/>
  <c r="F51" i="119"/>
  <c r="G51" i="119" s="1"/>
  <c r="H51" i="119" s="1"/>
  <c r="I51" i="119" s="1"/>
  <c r="D48" i="118"/>
  <c r="E48" i="118" s="1"/>
  <c r="F48" i="118" s="1"/>
  <c r="G48" i="118" s="1"/>
  <c r="H48" i="118" s="1"/>
  <c r="I48" i="118" s="1"/>
  <c r="F15" i="121"/>
  <c r="F6" i="121"/>
  <c r="F6" i="120"/>
  <c r="F12" i="120" s="1"/>
  <c r="F19" i="120" s="1"/>
  <c r="C40" i="118"/>
  <c r="C43" i="119"/>
  <c r="F6" i="62"/>
  <c r="F12" i="62" s="1"/>
  <c r="F19" i="62" s="1"/>
  <c r="C16" i="91"/>
  <c r="F20" i="62"/>
  <c r="C34" i="91" s="1"/>
  <c r="F6" i="94"/>
  <c r="F12" i="94" s="1"/>
  <c r="C17" i="68"/>
  <c r="V1379" i="95"/>
  <c r="M1405" i="95"/>
  <c r="E20" i="121"/>
  <c r="E21" i="121" s="1"/>
  <c r="AN1286" i="95"/>
  <c r="AN1287" i="95" s="1"/>
  <c r="O1686" i="95"/>
  <c r="G24" i="122"/>
  <c r="G25" i="122" s="1"/>
  <c r="C39" i="119"/>
  <c r="C40" i="119"/>
  <c r="N38" i="119"/>
  <c r="O34" i="118"/>
  <c r="D36" i="118"/>
  <c r="N36" i="118"/>
  <c r="D37" i="118"/>
  <c r="H69" i="55" l="1"/>
  <c r="H122" i="55" s="1"/>
  <c r="H78" i="55"/>
  <c r="H131" i="55" s="1"/>
  <c r="I64" i="55"/>
  <c r="J63" i="55"/>
  <c r="J64" i="55" s="1"/>
  <c r="F13" i="55"/>
  <c r="F71" i="55" s="1"/>
  <c r="F124" i="55" s="1"/>
  <c r="E44" i="81"/>
  <c r="D134" i="53"/>
  <c r="D201" i="53"/>
  <c r="D22" i="53"/>
  <c r="D75" i="53" s="1"/>
  <c r="C105" i="81"/>
  <c r="I132" i="53"/>
  <c r="I199" i="53"/>
  <c r="D234" i="55"/>
  <c r="D141" i="55"/>
  <c r="D189" i="55" s="1"/>
  <c r="D148" i="53"/>
  <c r="D215" i="53"/>
  <c r="D25" i="53"/>
  <c r="D78" i="53" s="1"/>
  <c r="C108" i="81"/>
  <c r="D18" i="53"/>
  <c r="D71" i="53" s="1"/>
  <c r="C101" i="81"/>
  <c r="E16" i="53"/>
  <c r="E69" i="53" s="1"/>
  <c r="D99" i="81"/>
  <c r="D197" i="53"/>
  <c r="D130" i="53"/>
  <c r="D202" i="53"/>
  <c r="D135" i="53"/>
  <c r="B54" i="81"/>
  <c r="B79" i="81"/>
  <c r="AC695" i="95"/>
  <c r="D96" i="81"/>
  <c r="E13" i="53"/>
  <c r="E66" i="53" s="1"/>
  <c r="D18" i="72"/>
  <c r="D43" i="72" s="1"/>
  <c r="I72" i="81"/>
  <c r="C72" i="81"/>
  <c r="J132" i="53"/>
  <c r="J199" i="53"/>
  <c r="D31" i="72"/>
  <c r="D56" i="72" s="1"/>
  <c r="C85" i="81"/>
  <c r="B55" i="81"/>
  <c r="B80" i="81"/>
  <c r="AC696" i="95"/>
  <c r="D20" i="72"/>
  <c r="D45" i="72" s="1"/>
  <c r="C74" i="81"/>
  <c r="C42" i="81"/>
  <c r="K683" i="95"/>
  <c r="M683" i="95" s="1"/>
  <c r="E30" i="55"/>
  <c r="E88" i="55" s="1"/>
  <c r="D61" i="81"/>
  <c r="E27" i="53"/>
  <c r="E80" i="53" s="1"/>
  <c r="D110" i="81"/>
  <c r="B58" i="81"/>
  <c r="B83" i="81"/>
  <c r="B76" i="81"/>
  <c r="B52" i="81"/>
  <c r="AC692" i="95"/>
  <c r="D204" i="53"/>
  <c r="D137" i="53"/>
  <c r="F15" i="72"/>
  <c r="F40" i="72" s="1"/>
  <c r="E69" i="81"/>
  <c r="D149" i="53"/>
  <c r="D216" i="53"/>
  <c r="B77" i="81"/>
  <c r="AC693" i="95"/>
  <c r="D17" i="72"/>
  <c r="C71" i="81"/>
  <c r="D97" i="81"/>
  <c r="E14" i="53"/>
  <c r="E67" i="53" s="1"/>
  <c r="B81" i="81"/>
  <c r="B56" i="81"/>
  <c r="D217" i="53"/>
  <c r="D150" i="53"/>
  <c r="D28" i="55"/>
  <c r="D86" i="55" s="1"/>
  <c r="C59" i="81"/>
  <c r="C47" i="81"/>
  <c r="D16" i="55"/>
  <c r="D74" i="55" s="1"/>
  <c r="D127" i="55" s="1"/>
  <c r="D19" i="55"/>
  <c r="D77" i="55" s="1"/>
  <c r="D130" i="55" s="1"/>
  <c r="C50" i="81"/>
  <c r="D20" i="53"/>
  <c r="D73" i="53" s="1"/>
  <c r="C103" i="81"/>
  <c r="D13" i="72"/>
  <c r="C67" i="81"/>
  <c r="D98" i="81"/>
  <c r="E15" i="53"/>
  <c r="E68" i="53" s="1"/>
  <c r="D198" i="53"/>
  <c r="D131" i="53"/>
  <c r="D24" i="53"/>
  <c r="D77" i="53" s="1"/>
  <c r="C107" i="81"/>
  <c r="D31" i="55"/>
  <c r="D89" i="55" s="1"/>
  <c r="C62" i="81"/>
  <c r="D19" i="72"/>
  <c r="C73" i="81"/>
  <c r="E9" i="53"/>
  <c r="E62" i="53" s="1"/>
  <c r="D92" i="81"/>
  <c r="D15" i="55"/>
  <c r="D73" i="55" s="1"/>
  <c r="D126" i="55" s="1"/>
  <c r="C46" i="81"/>
  <c r="K687" i="95"/>
  <c r="M687" i="95" s="1"/>
  <c r="C68" i="81"/>
  <c r="I68" i="81"/>
  <c r="D14" i="72"/>
  <c r="D39" i="72" s="1"/>
  <c r="D21" i="53"/>
  <c r="D74" i="53" s="1"/>
  <c r="C104" i="81"/>
  <c r="D115" i="53"/>
  <c r="D246" i="53" s="1"/>
  <c r="B78" i="81"/>
  <c r="B53" i="81"/>
  <c r="AC694" i="95"/>
  <c r="C49" i="81"/>
  <c r="D18" i="55"/>
  <c r="D76" i="55" s="1"/>
  <c r="D129" i="55" s="1"/>
  <c r="D203" i="53"/>
  <c r="D136" i="53"/>
  <c r="D93" i="81"/>
  <c r="E10" i="53"/>
  <c r="E63" i="53" s="1"/>
  <c r="B82" i="81"/>
  <c r="B57" i="81"/>
  <c r="C48" i="81"/>
  <c r="K689" i="95"/>
  <c r="M689" i="95" s="1"/>
  <c r="D17" i="55"/>
  <c r="D75" i="55" s="1"/>
  <c r="D128" i="55" s="1"/>
  <c r="E28" i="53"/>
  <c r="E81" i="53" s="1"/>
  <c r="D111" i="81"/>
  <c r="D19" i="53"/>
  <c r="D72" i="53" s="1"/>
  <c r="C102" i="81"/>
  <c r="K684" i="95"/>
  <c r="M684" i="95" s="1"/>
  <c r="C43" i="81"/>
  <c r="D23" i="53"/>
  <c r="D76" i="53" s="1"/>
  <c r="C106" i="81"/>
  <c r="D112" i="81"/>
  <c r="E29" i="53"/>
  <c r="E82" i="53" s="1"/>
  <c r="D30" i="72"/>
  <c r="D55" i="72" s="1"/>
  <c r="C84" i="81"/>
  <c r="C60" i="81"/>
  <c r="D29" i="55"/>
  <c r="D87" i="55" s="1"/>
  <c r="D21" i="72"/>
  <c r="D46" i="72" s="1"/>
  <c r="C75" i="81"/>
  <c r="E41" i="72"/>
  <c r="E45" i="81"/>
  <c r="F14" i="55"/>
  <c r="Q686" i="95"/>
  <c r="S686" i="95" s="1"/>
  <c r="E70" i="81"/>
  <c r="K70" i="81"/>
  <c r="F16" i="72"/>
  <c r="E95" i="81"/>
  <c r="F12" i="53"/>
  <c r="F65" i="53" s="1"/>
  <c r="E72" i="55"/>
  <c r="E125" i="55" s="1"/>
  <c r="D71" i="72"/>
  <c r="D72" i="72"/>
  <c r="D158" i="72"/>
  <c r="E133" i="53"/>
  <c r="E200" i="53"/>
  <c r="I35" i="72"/>
  <c r="J34" i="72"/>
  <c r="E165" i="29"/>
  <c r="E133" i="29"/>
  <c r="E181" i="29"/>
  <c r="E149" i="29"/>
  <c r="D26" i="68"/>
  <c r="I135" i="72"/>
  <c r="H176" i="72"/>
  <c r="H175" i="72"/>
  <c r="H165" i="72"/>
  <c r="D65" i="21"/>
  <c r="D41" i="21"/>
  <c r="G179" i="72"/>
  <c r="E33" i="21" s="1"/>
  <c r="I57" i="119"/>
  <c r="N56" i="119"/>
  <c r="N57" i="119" s="1"/>
  <c r="C64" i="119"/>
  <c r="D61" i="119" s="1"/>
  <c r="D64" i="119" s="1"/>
  <c r="E61" i="119" s="1"/>
  <c r="E64" i="119" s="1"/>
  <c r="F61" i="119" s="1"/>
  <c r="F64" i="119" s="1"/>
  <c r="G61" i="119" s="1"/>
  <c r="G64" i="119" s="1"/>
  <c r="H61" i="119" s="1"/>
  <c r="H64" i="119" s="1"/>
  <c r="I61" i="119" s="1"/>
  <c r="I64" i="119" s="1"/>
  <c r="F54" i="118"/>
  <c r="G54" i="118" s="1"/>
  <c r="H54" i="118" s="1"/>
  <c r="I54" i="118" s="1"/>
  <c r="N53" i="118"/>
  <c r="N54" i="118" s="1"/>
  <c r="N55" i="118"/>
  <c r="O52" i="118" s="1"/>
  <c r="O47" i="118"/>
  <c r="O49" i="118" s="1"/>
  <c r="P46" i="118" s="1"/>
  <c r="C61" i="118"/>
  <c r="D58" i="118" s="1"/>
  <c r="D61" i="118" s="1"/>
  <c r="E58" i="118" s="1"/>
  <c r="E61" i="118" s="1"/>
  <c r="F58" i="118" s="1"/>
  <c r="F61" i="118" s="1"/>
  <c r="G58" i="118" s="1"/>
  <c r="G61" i="118" s="1"/>
  <c r="H58" i="118" s="1"/>
  <c r="H61" i="118" s="1"/>
  <c r="I58" i="118" s="1"/>
  <c r="I61" i="118" s="1"/>
  <c r="D63" i="119"/>
  <c r="N64" i="119"/>
  <c r="O61" i="119" s="1"/>
  <c r="N62" i="119"/>
  <c r="N63" i="119" s="1"/>
  <c r="N61" i="118"/>
  <c r="O58" i="118" s="1"/>
  <c r="N59" i="118"/>
  <c r="N60" i="118" s="1"/>
  <c r="E60" i="118"/>
  <c r="F60" i="118" s="1"/>
  <c r="G60" i="118" s="1"/>
  <c r="H60" i="118" s="1"/>
  <c r="I60" i="118" s="1"/>
  <c r="C58" i="119"/>
  <c r="D55" i="119" s="1"/>
  <c r="D58" i="119" s="1"/>
  <c r="E55" i="119" s="1"/>
  <c r="E58" i="119" s="1"/>
  <c r="F55" i="119" s="1"/>
  <c r="F58" i="119" s="1"/>
  <c r="G55" i="119" s="1"/>
  <c r="G58" i="119" s="1"/>
  <c r="H55" i="119" s="1"/>
  <c r="H58" i="119" s="1"/>
  <c r="I55" i="119" s="1"/>
  <c r="I58" i="119" s="1"/>
  <c r="E63" i="119"/>
  <c r="F63" i="119" s="1"/>
  <c r="G63" i="119" s="1"/>
  <c r="H63" i="119" s="1"/>
  <c r="I63" i="119" s="1"/>
  <c r="C55" i="118"/>
  <c r="D52" i="118" s="1"/>
  <c r="D55" i="118" s="1"/>
  <c r="E52" i="118" s="1"/>
  <c r="E55" i="118" s="1"/>
  <c r="F52" i="118" s="1"/>
  <c r="F55" i="118" s="1"/>
  <c r="G52" i="118" s="1"/>
  <c r="G55" i="118" s="1"/>
  <c r="H52" i="118" s="1"/>
  <c r="H55" i="118" s="1"/>
  <c r="I52" i="118" s="1"/>
  <c r="I55" i="118" s="1"/>
  <c r="N52" i="119"/>
  <c r="O49" i="119" s="1"/>
  <c r="N43" i="119"/>
  <c r="D44" i="119"/>
  <c r="D66" i="119" s="1"/>
  <c r="I44" i="119"/>
  <c r="I66" i="119" s="1"/>
  <c r="C44" i="119"/>
  <c r="C46" i="119" s="1"/>
  <c r="D43" i="119" s="1"/>
  <c r="E44" i="119"/>
  <c r="E66" i="119" s="1"/>
  <c r="H44" i="119"/>
  <c r="H66" i="119" s="1"/>
  <c r="F44" i="119"/>
  <c r="F66" i="119" s="1"/>
  <c r="G44" i="119"/>
  <c r="G66" i="119" s="1"/>
  <c r="C65" i="119"/>
  <c r="N40" i="118"/>
  <c r="I41" i="118"/>
  <c r="I63" i="118" s="1"/>
  <c r="H41" i="118"/>
  <c r="H63" i="118" s="1"/>
  <c r="G41" i="118"/>
  <c r="G63" i="118" s="1"/>
  <c r="F41" i="118"/>
  <c r="F63" i="118" s="1"/>
  <c r="E41" i="118"/>
  <c r="E63" i="118" s="1"/>
  <c r="D41" i="118"/>
  <c r="D63" i="118" s="1"/>
  <c r="C41" i="118"/>
  <c r="C43" i="118" s="1"/>
  <c r="C62" i="118"/>
  <c r="B14" i="69" s="1"/>
  <c r="U1405" i="95"/>
  <c r="U1411" i="95" s="1"/>
  <c r="C30" i="91"/>
  <c r="I19" i="120"/>
  <c r="I20" i="120" s="1"/>
  <c r="L19" i="120"/>
  <c r="L20" i="120" s="1"/>
  <c r="L21" i="120" s="1"/>
  <c r="N40" i="119"/>
  <c r="N39" i="119"/>
  <c r="D37" i="119"/>
  <c r="D39" i="119"/>
  <c r="E36" i="118"/>
  <c r="O35" i="118"/>
  <c r="E34" i="118"/>
  <c r="J78" i="55" l="1"/>
  <c r="J131" i="55" s="1"/>
  <c r="J69" i="55"/>
  <c r="J122" i="55" s="1"/>
  <c r="I78" i="55"/>
  <c r="I131" i="55" s="1"/>
  <c r="I69" i="55"/>
  <c r="I122" i="55" s="1"/>
  <c r="D60" i="81"/>
  <c r="E29" i="55"/>
  <c r="E87" i="55" s="1"/>
  <c r="E216" i="53"/>
  <c r="E149" i="53"/>
  <c r="D212" i="53"/>
  <c r="D145" i="53"/>
  <c r="D208" i="53"/>
  <c r="D141" i="53"/>
  <c r="D47" i="81"/>
  <c r="E16" i="55"/>
  <c r="E74" i="55" s="1"/>
  <c r="E127" i="55" s="1"/>
  <c r="E97" i="81"/>
  <c r="F14" i="53"/>
  <c r="F67" i="53" s="1"/>
  <c r="D21" i="55"/>
  <c r="D79" i="55" s="1"/>
  <c r="D132" i="55" s="1"/>
  <c r="C52" i="81"/>
  <c r="K693" i="95"/>
  <c r="M693" i="95" s="1"/>
  <c r="E110" i="81"/>
  <c r="F27" i="53"/>
  <c r="F80" i="53" s="1"/>
  <c r="E134" i="53"/>
  <c r="E201" i="53"/>
  <c r="D75" i="81"/>
  <c r="E21" i="72"/>
  <c r="E46" i="72" s="1"/>
  <c r="D84" i="81"/>
  <c r="E30" i="72"/>
  <c r="E55" i="72" s="1"/>
  <c r="D106" i="81"/>
  <c r="E23" i="53"/>
  <c r="E76" i="53" s="1"/>
  <c r="D102" i="81"/>
  <c r="E19" i="53"/>
  <c r="E72" i="53" s="1"/>
  <c r="D28" i="72"/>
  <c r="D53" i="72" s="1"/>
  <c r="C82" i="81"/>
  <c r="C53" i="81"/>
  <c r="D22" i="55"/>
  <c r="D80" i="55" s="1"/>
  <c r="D133" i="55" s="1"/>
  <c r="K694" i="95"/>
  <c r="M694" i="95" s="1"/>
  <c r="D104" i="81"/>
  <c r="E21" i="53"/>
  <c r="E74" i="53" s="1"/>
  <c r="J68" i="81"/>
  <c r="E14" i="72"/>
  <c r="E39" i="72" s="1"/>
  <c r="D68" i="81"/>
  <c r="F9" i="53"/>
  <c r="F62" i="53" s="1"/>
  <c r="E92" i="81"/>
  <c r="D62" i="81"/>
  <c r="E31" i="55"/>
  <c r="E89" i="55" s="1"/>
  <c r="D67" i="81"/>
  <c r="E13" i="72"/>
  <c r="D50" i="81"/>
  <c r="E19" i="55"/>
  <c r="E77" i="55" s="1"/>
  <c r="E130" i="55" s="1"/>
  <c r="E28" i="55"/>
  <c r="E86" i="55" s="1"/>
  <c r="D59" i="81"/>
  <c r="D25" i="55"/>
  <c r="D83" i="55" s="1"/>
  <c r="C56" i="81"/>
  <c r="D71" i="81"/>
  <c r="E17" i="72"/>
  <c r="D22" i="72"/>
  <c r="D47" i="72" s="1"/>
  <c r="C76" i="81"/>
  <c r="K692" i="95"/>
  <c r="M692" i="95" s="1"/>
  <c r="E148" i="53"/>
  <c r="E215" i="53"/>
  <c r="N683" i="95"/>
  <c r="P683" i="95" s="1"/>
  <c r="D42" i="81"/>
  <c r="D26" i="72"/>
  <c r="D51" i="72" s="1"/>
  <c r="C80" i="81"/>
  <c r="D85" i="81"/>
  <c r="E31" i="72"/>
  <c r="E56" i="72" s="1"/>
  <c r="E18" i="72"/>
  <c r="E43" i="72" s="1"/>
  <c r="D72" i="81"/>
  <c r="J72" i="81"/>
  <c r="E96" i="81"/>
  <c r="F13" i="53"/>
  <c r="F66" i="53" s="1"/>
  <c r="F16" i="53"/>
  <c r="F69" i="53" s="1"/>
  <c r="E99" i="81"/>
  <c r="D108" i="81"/>
  <c r="E25" i="53"/>
  <c r="E78" i="53" s="1"/>
  <c r="D105" i="81"/>
  <c r="E22" i="53"/>
  <c r="E75" i="53" s="1"/>
  <c r="F44" i="81"/>
  <c r="G13" i="55"/>
  <c r="G71" i="55" s="1"/>
  <c r="G124" i="55" s="1"/>
  <c r="F29" i="53"/>
  <c r="F82" i="53" s="1"/>
  <c r="E112" i="81"/>
  <c r="C57" i="81"/>
  <c r="D26" i="55"/>
  <c r="D84" i="55" s="1"/>
  <c r="D44" i="72"/>
  <c r="D82" i="72"/>
  <c r="D83" i="72"/>
  <c r="E98" i="81"/>
  <c r="F15" i="53"/>
  <c r="F68" i="53" s="1"/>
  <c r="C54" i="81"/>
  <c r="D23" i="55"/>
  <c r="D81" i="55" s="1"/>
  <c r="D206" i="53"/>
  <c r="D139" i="53"/>
  <c r="D114" i="53"/>
  <c r="E119" i="53"/>
  <c r="D183" i="53"/>
  <c r="D211" i="53"/>
  <c r="D144" i="53"/>
  <c r="D207" i="53"/>
  <c r="D140" i="53"/>
  <c r="E198" i="53"/>
  <c r="E131" i="53"/>
  <c r="D24" i="72"/>
  <c r="C78" i="81"/>
  <c r="D209" i="53"/>
  <c r="D142" i="53"/>
  <c r="E130" i="53"/>
  <c r="E197" i="53"/>
  <c r="D142" i="55"/>
  <c r="D190" i="55" s="1"/>
  <c r="D235" i="55"/>
  <c r="D38" i="72"/>
  <c r="D232" i="55"/>
  <c r="D139" i="55"/>
  <c r="D187" i="55" s="1"/>
  <c r="D27" i="72"/>
  <c r="D52" i="72" s="1"/>
  <c r="C81" i="81"/>
  <c r="D74" i="72"/>
  <c r="D75" i="72"/>
  <c r="D42" i="72"/>
  <c r="D29" i="72"/>
  <c r="D54" i="72" s="1"/>
  <c r="C83" i="81"/>
  <c r="F30" i="55"/>
  <c r="F88" i="55" s="1"/>
  <c r="E61" i="81"/>
  <c r="D74" i="81"/>
  <c r="E20" i="72"/>
  <c r="E45" i="72" s="1"/>
  <c r="D24" i="55"/>
  <c r="D82" i="55" s="1"/>
  <c r="C55" i="81"/>
  <c r="E137" i="53"/>
  <c r="E204" i="53"/>
  <c r="D213" i="53"/>
  <c r="D146" i="53"/>
  <c r="D210" i="53"/>
  <c r="D143" i="53"/>
  <c r="D23" i="72"/>
  <c r="D48" i="72" s="1"/>
  <c r="I77" i="81"/>
  <c r="C77" i="81"/>
  <c r="E116" i="53"/>
  <c r="E247" i="53" s="1"/>
  <c r="D140" i="55"/>
  <c r="D188" i="55" s="1"/>
  <c r="D233" i="55"/>
  <c r="E150" i="53"/>
  <c r="E217" i="53"/>
  <c r="D43" i="81"/>
  <c r="N684" i="95"/>
  <c r="P684" i="95" s="1"/>
  <c r="F28" i="53"/>
  <c r="F81" i="53" s="1"/>
  <c r="E111" i="81"/>
  <c r="D48" i="81"/>
  <c r="E17" i="55"/>
  <c r="E75" i="55" s="1"/>
  <c r="E128" i="55" s="1"/>
  <c r="N689" i="95"/>
  <c r="P689" i="95" s="1"/>
  <c r="E93" i="81"/>
  <c r="F10" i="53"/>
  <c r="F63" i="53" s="1"/>
  <c r="D49" i="81"/>
  <c r="E18" i="55"/>
  <c r="E76" i="55" s="1"/>
  <c r="E129" i="55" s="1"/>
  <c r="D116" i="53"/>
  <c r="D65" i="72"/>
  <c r="D64" i="72"/>
  <c r="D142" i="72" s="1"/>
  <c r="D156" i="72"/>
  <c r="D46" i="81"/>
  <c r="N687" i="95"/>
  <c r="P687" i="95" s="1"/>
  <c r="E15" i="55"/>
  <c r="E73" i="55" s="1"/>
  <c r="E126" i="55" s="1"/>
  <c r="D73" i="81"/>
  <c r="E19" i="72"/>
  <c r="D107" i="81"/>
  <c r="E24" i="53"/>
  <c r="E77" i="53" s="1"/>
  <c r="E136" i="53"/>
  <c r="E203" i="53"/>
  <c r="D103" i="81"/>
  <c r="E20" i="53"/>
  <c r="E73" i="53" s="1"/>
  <c r="E135" i="53"/>
  <c r="E202" i="53"/>
  <c r="F69" i="81"/>
  <c r="G15" i="72"/>
  <c r="G40" i="72" s="1"/>
  <c r="C58" i="81"/>
  <c r="D27" i="55"/>
  <c r="D85" i="55" s="1"/>
  <c r="E141" i="55"/>
  <c r="E189" i="55" s="1"/>
  <c r="E234" i="55"/>
  <c r="D86" i="72"/>
  <c r="D85" i="72"/>
  <c r="D118" i="53"/>
  <c r="D79" i="72"/>
  <c r="D143" i="72" s="1"/>
  <c r="D157" i="72"/>
  <c r="D80" i="72"/>
  <c r="D25" i="72"/>
  <c r="C79" i="81"/>
  <c r="D101" i="81"/>
  <c r="E18" i="53"/>
  <c r="E71" i="53" s="1"/>
  <c r="E118" i="53" s="1"/>
  <c r="D119" i="53"/>
  <c r="E184" i="53"/>
  <c r="F200" i="53"/>
  <c r="F133" i="53"/>
  <c r="F41" i="72"/>
  <c r="G14" i="55"/>
  <c r="F45" i="81"/>
  <c r="T686" i="95"/>
  <c r="V686" i="95" s="1"/>
  <c r="D144" i="72"/>
  <c r="G12" i="53"/>
  <c r="G65" i="53" s="1"/>
  <c r="F95" i="81"/>
  <c r="E251" i="53"/>
  <c r="F72" i="55"/>
  <c r="F125" i="55" s="1"/>
  <c r="L70" i="81"/>
  <c r="G16" i="72"/>
  <c r="F70" i="81"/>
  <c r="E158" i="72"/>
  <c r="E72" i="72"/>
  <c r="E71" i="72"/>
  <c r="H179" i="72"/>
  <c r="F33" i="21" s="1"/>
  <c r="F41" i="21" s="1"/>
  <c r="J135" i="72"/>
  <c r="I176" i="72"/>
  <c r="I175" i="72"/>
  <c r="I165" i="72"/>
  <c r="F65" i="21"/>
  <c r="E41" i="21"/>
  <c r="E65" i="21"/>
  <c r="F181" i="29"/>
  <c r="F165" i="29"/>
  <c r="F149" i="29"/>
  <c r="F133" i="29"/>
  <c r="E26" i="68"/>
  <c r="J35" i="72"/>
  <c r="P47" i="118"/>
  <c r="P49" i="118"/>
  <c r="Q46" i="118" s="1"/>
  <c r="O50" i="119"/>
  <c r="O51" i="119" s="1"/>
  <c r="O59" i="118"/>
  <c r="O60" i="118" s="1"/>
  <c r="O61" i="118"/>
  <c r="P58" i="118" s="1"/>
  <c r="O62" i="119"/>
  <c r="O63" i="119" s="1"/>
  <c r="O64" i="119"/>
  <c r="P61" i="119" s="1"/>
  <c r="O48" i="118"/>
  <c r="P48" i="118" s="1"/>
  <c r="O53" i="118"/>
  <c r="O54" i="118" s="1"/>
  <c r="N58" i="119"/>
  <c r="O55" i="119" s="1"/>
  <c r="D46" i="119"/>
  <c r="E43" i="119" s="1"/>
  <c r="E46" i="119" s="1"/>
  <c r="F43" i="119" s="1"/>
  <c r="F46" i="119" s="1"/>
  <c r="G43" i="119" s="1"/>
  <c r="G46" i="119" s="1"/>
  <c r="H43" i="119" s="1"/>
  <c r="H46" i="119" s="1"/>
  <c r="I43" i="119" s="1"/>
  <c r="I46" i="119" s="1"/>
  <c r="D40" i="118"/>
  <c r="C65" i="118"/>
  <c r="E15" i="69"/>
  <c r="E47" i="21"/>
  <c r="N41" i="118"/>
  <c r="N43" i="118" s="1"/>
  <c r="N62" i="118"/>
  <c r="N44" i="119"/>
  <c r="N65" i="119"/>
  <c r="H47" i="21"/>
  <c r="H15" i="69"/>
  <c r="C42" i="118"/>
  <c r="C63" i="118"/>
  <c r="F15" i="69"/>
  <c r="F47" i="21"/>
  <c r="C45" i="119"/>
  <c r="C66" i="119"/>
  <c r="D47" i="21"/>
  <c r="D15" i="69"/>
  <c r="C68" i="119"/>
  <c r="C15" i="69"/>
  <c r="C47" i="21"/>
  <c r="G47" i="21"/>
  <c r="G15" i="69"/>
  <c r="E39" i="119"/>
  <c r="D40" i="119"/>
  <c r="D65" i="119"/>
  <c r="O37" i="119"/>
  <c r="O36" i="118"/>
  <c r="F36" i="118"/>
  <c r="E37" i="118"/>
  <c r="O37" i="118"/>
  <c r="E188" i="53" l="1"/>
  <c r="E187" i="53"/>
  <c r="E250" i="53"/>
  <c r="E73" i="81"/>
  <c r="F19" i="72"/>
  <c r="F149" i="53"/>
  <c r="F216" i="53"/>
  <c r="D96" i="72"/>
  <c r="D141" i="72" s="1"/>
  <c r="D97" i="72"/>
  <c r="D99" i="72"/>
  <c r="D145" i="72" s="1"/>
  <c r="D155" i="72"/>
  <c r="D228" i="55"/>
  <c r="D135" i="55"/>
  <c r="D183" i="55" s="1"/>
  <c r="D230" i="55"/>
  <c r="D137" i="55"/>
  <c r="D185" i="55" s="1"/>
  <c r="F134" i="53"/>
  <c r="F201" i="53"/>
  <c r="E75" i="72"/>
  <c r="E42" i="72"/>
  <c r="E74" i="72"/>
  <c r="E38" i="72"/>
  <c r="E207" i="53"/>
  <c r="E140" i="53"/>
  <c r="D79" i="81"/>
  <c r="E25" i="72"/>
  <c r="E141" i="53"/>
  <c r="E208" i="53"/>
  <c r="E145" i="53"/>
  <c r="E212" i="53"/>
  <c r="F18" i="55"/>
  <c r="F76" i="55" s="1"/>
  <c r="F129" i="55" s="1"/>
  <c r="E49" i="81"/>
  <c r="E86" i="72"/>
  <c r="E85" i="72"/>
  <c r="D83" i="81"/>
  <c r="E29" i="72"/>
  <c r="E54" i="72" s="1"/>
  <c r="D182" i="53"/>
  <c r="D191" i="53" s="1"/>
  <c r="D245" i="53"/>
  <c r="D54" i="81"/>
  <c r="E23" i="55"/>
  <c r="E81" i="55" s="1"/>
  <c r="D57" i="81"/>
  <c r="E26" i="55"/>
  <c r="E84" i="55" s="1"/>
  <c r="G44" i="81"/>
  <c r="H13" i="55"/>
  <c r="H71" i="55" s="1"/>
  <c r="H124" i="55" s="1"/>
  <c r="F25" i="53"/>
  <c r="F78" i="53" s="1"/>
  <c r="E108" i="81"/>
  <c r="F96" i="81"/>
  <c r="G13" i="53"/>
  <c r="G66" i="53" s="1"/>
  <c r="E42" i="81"/>
  <c r="Q683" i="95"/>
  <c r="S683" i="95" s="1"/>
  <c r="E71" i="81"/>
  <c r="F17" i="72"/>
  <c r="E232" i="55"/>
  <c r="E139" i="55"/>
  <c r="E187" i="55" s="1"/>
  <c r="E67" i="81"/>
  <c r="F13" i="72"/>
  <c r="F130" i="53"/>
  <c r="F197" i="53"/>
  <c r="E209" i="53"/>
  <c r="E142" i="53"/>
  <c r="D53" i="81"/>
  <c r="E22" i="55"/>
  <c r="E80" i="55" s="1"/>
  <c r="E133" i="55" s="1"/>
  <c r="N694" i="95"/>
  <c r="P694" i="95" s="1"/>
  <c r="E102" i="81"/>
  <c r="F19" i="53"/>
  <c r="F72" i="53" s="1"/>
  <c r="E84" i="81"/>
  <c r="F30" i="72"/>
  <c r="F55" i="72" s="1"/>
  <c r="D52" i="81"/>
  <c r="E21" i="55"/>
  <c r="E79" i="55" s="1"/>
  <c r="E132" i="55" s="1"/>
  <c r="N693" i="95"/>
  <c r="P693" i="95" s="1"/>
  <c r="E233" i="55"/>
  <c r="E140" i="55"/>
  <c r="E188" i="55" s="1"/>
  <c r="F18" i="53"/>
  <c r="F71" i="53" s="1"/>
  <c r="E101" i="81"/>
  <c r="F141" i="55"/>
  <c r="F189" i="55" s="1"/>
  <c r="F234" i="55"/>
  <c r="D227" i="55"/>
  <c r="D134" i="55"/>
  <c r="E213" i="53"/>
  <c r="E146" i="53"/>
  <c r="E80" i="72"/>
  <c r="E79" i="72"/>
  <c r="E143" i="72" s="1"/>
  <c r="E157" i="72"/>
  <c r="E59" i="81"/>
  <c r="F28" i="55"/>
  <c r="F86" i="55" s="1"/>
  <c r="D188" i="53"/>
  <c r="D251" i="53"/>
  <c r="D104" i="72"/>
  <c r="D103" i="72"/>
  <c r="D50" i="72"/>
  <c r="D187" i="53"/>
  <c r="D250" i="53"/>
  <c r="G69" i="81"/>
  <c r="H15" i="72"/>
  <c r="H40" i="72" s="1"/>
  <c r="E103" i="81"/>
  <c r="F20" i="53"/>
  <c r="F73" i="53" s="1"/>
  <c r="F119" i="53" s="1"/>
  <c r="E107" i="81"/>
  <c r="F24" i="53"/>
  <c r="F77" i="53" s="1"/>
  <c r="F198" i="53"/>
  <c r="F131" i="53"/>
  <c r="Q689" i="95"/>
  <c r="S689" i="95" s="1"/>
  <c r="F17" i="55"/>
  <c r="F75" i="55" s="1"/>
  <c r="F128" i="55" s="1"/>
  <c r="E48" i="81"/>
  <c r="Q684" i="95"/>
  <c r="S684" i="95" s="1"/>
  <c r="E43" i="81"/>
  <c r="J77" i="81"/>
  <c r="E23" i="72"/>
  <c r="E48" i="72" s="1"/>
  <c r="D77" i="81"/>
  <c r="E74" i="81"/>
  <c r="F20" i="72"/>
  <c r="F45" i="72" s="1"/>
  <c r="D81" i="81"/>
  <c r="E27" i="72"/>
  <c r="E52" i="72" s="1"/>
  <c r="D32" i="72"/>
  <c r="D78" i="81"/>
  <c r="E24" i="72"/>
  <c r="F136" i="53"/>
  <c r="F203" i="53"/>
  <c r="F112" i="81"/>
  <c r="G29" i="53"/>
  <c r="G82" i="53" s="1"/>
  <c r="E143" i="53"/>
  <c r="E210" i="53"/>
  <c r="F99" i="81"/>
  <c r="G16" i="53"/>
  <c r="G69" i="53" s="1"/>
  <c r="E85" i="81"/>
  <c r="F31" i="72"/>
  <c r="F56" i="72" s="1"/>
  <c r="E22" i="72"/>
  <c r="E47" i="72" s="1"/>
  <c r="D76" i="81"/>
  <c r="N692" i="95"/>
  <c r="P692" i="95" s="1"/>
  <c r="D56" i="81"/>
  <c r="E25" i="55"/>
  <c r="E83" i="55" s="1"/>
  <c r="E235" i="55"/>
  <c r="E142" i="55"/>
  <c r="E190" i="55" s="1"/>
  <c r="K68" i="81"/>
  <c r="F14" i="72"/>
  <c r="F39" i="72" s="1"/>
  <c r="E68" i="81"/>
  <c r="F21" i="53"/>
  <c r="F74" i="53" s="1"/>
  <c r="E104" i="81"/>
  <c r="E28" i="72"/>
  <c r="E53" i="72" s="1"/>
  <c r="D82" i="81"/>
  <c r="E211" i="53"/>
  <c r="E144" i="53"/>
  <c r="F148" i="53"/>
  <c r="F215" i="53"/>
  <c r="E47" i="81"/>
  <c r="F16" i="55"/>
  <c r="F74" i="55" s="1"/>
  <c r="F127" i="55" s="1"/>
  <c r="F29" i="55"/>
  <c r="F87" i="55" s="1"/>
  <c r="E60" i="81"/>
  <c r="D58" i="81"/>
  <c r="E27" i="55"/>
  <c r="E85" i="55" s="1"/>
  <c r="F92" i="81"/>
  <c r="G9" i="53"/>
  <c r="G62" i="53" s="1"/>
  <c r="F97" i="81"/>
  <c r="G14" i="53"/>
  <c r="G67" i="53" s="1"/>
  <c r="F115" i="53"/>
  <c r="E139" i="53"/>
  <c r="E206" i="53"/>
  <c r="E114" i="53"/>
  <c r="E115" i="53"/>
  <c r="D138" i="55"/>
  <c r="D186" i="55" s="1"/>
  <c r="D231" i="55"/>
  <c r="E83" i="72"/>
  <c r="E44" i="72"/>
  <c r="E82" i="72"/>
  <c r="F15" i="55"/>
  <c r="F73" i="55" s="1"/>
  <c r="F126" i="55" s="1"/>
  <c r="E46" i="81"/>
  <c r="Q687" i="95"/>
  <c r="S687" i="95" s="1"/>
  <c r="D247" i="53"/>
  <c r="D184" i="53"/>
  <c r="G10" i="53"/>
  <c r="G63" i="53" s="1"/>
  <c r="F93" i="81"/>
  <c r="G28" i="53"/>
  <c r="G81" i="53" s="1"/>
  <c r="F111" i="81"/>
  <c r="D55" i="81"/>
  <c r="E24" i="55"/>
  <c r="E82" i="55" s="1"/>
  <c r="F61" i="81"/>
  <c r="G30" i="55"/>
  <c r="G88" i="55" s="1"/>
  <c r="D101" i="72"/>
  <c r="D49" i="72"/>
  <c r="D253" i="53"/>
  <c r="F98" i="81"/>
  <c r="G15" i="53"/>
  <c r="G68" i="53" s="1"/>
  <c r="F150" i="53"/>
  <c r="F217" i="53"/>
  <c r="E105" i="81"/>
  <c r="F22" i="53"/>
  <c r="F75" i="53" s="1"/>
  <c r="F137" i="53"/>
  <c r="F204" i="53"/>
  <c r="F18" i="72"/>
  <c r="F43" i="72" s="1"/>
  <c r="K72" i="81"/>
  <c r="E72" i="81"/>
  <c r="D80" i="81"/>
  <c r="E26" i="72"/>
  <c r="E51" i="72" s="1"/>
  <c r="D93" i="72"/>
  <c r="D162" i="72" s="1"/>
  <c r="D94" i="72"/>
  <c r="D136" i="55"/>
  <c r="D184" i="55" s="1"/>
  <c r="D229" i="55"/>
  <c r="E50" i="81"/>
  <c r="F19" i="55"/>
  <c r="F77" i="55" s="1"/>
  <c r="F130" i="55" s="1"/>
  <c r="F31" i="55"/>
  <c r="F89" i="55" s="1"/>
  <c r="E62" i="81"/>
  <c r="E65" i="72"/>
  <c r="E156" i="72"/>
  <c r="E64" i="72"/>
  <c r="E142" i="72" s="1"/>
  <c r="E106" i="81"/>
  <c r="F23" i="53"/>
  <c r="F76" i="53" s="1"/>
  <c r="E75" i="81"/>
  <c r="F21" i="72"/>
  <c r="F46" i="72" s="1"/>
  <c r="F110" i="81"/>
  <c r="G27" i="53"/>
  <c r="G80" i="53" s="1"/>
  <c r="F202" i="53"/>
  <c r="F135" i="53"/>
  <c r="D254" i="53"/>
  <c r="G45" i="81"/>
  <c r="W686" i="95"/>
  <c r="Y686" i="95" s="1"/>
  <c r="H14" i="55"/>
  <c r="M70" i="81"/>
  <c r="H16" i="72"/>
  <c r="G70" i="81"/>
  <c r="E144" i="72"/>
  <c r="H12" i="53"/>
  <c r="H65" i="53" s="1"/>
  <c r="G95" i="81"/>
  <c r="G72" i="55"/>
  <c r="G125" i="55" s="1"/>
  <c r="G41" i="72"/>
  <c r="G200" i="53"/>
  <c r="G133" i="53"/>
  <c r="F71" i="72"/>
  <c r="F72" i="72"/>
  <c r="F158" i="72"/>
  <c r="F246" i="53"/>
  <c r="I179" i="72"/>
  <c r="G33" i="21" s="1"/>
  <c r="J175" i="72"/>
  <c r="J176" i="72"/>
  <c r="J165" i="72"/>
  <c r="G26" i="68"/>
  <c r="H133" i="29"/>
  <c r="H181" i="29"/>
  <c r="H165" i="29"/>
  <c r="H149" i="29"/>
  <c r="G133" i="29"/>
  <c r="G181" i="29"/>
  <c r="G165" i="29"/>
  <c r="F26" i="68"/>
  <c r="G149" i="29"/>
  <c r="P62" i="119"/>
  <c r="P63" i="119" s="1"/>
  <c r="O55" i="118"/>
  <c r="P52" i="118" s="1"/>
  <c r="O52" i="119"/>
  <c r="P49" i="119" s="1"/>
  <c r="O58" i="119"/>
  <c r="P55" i="119" s="1"/>
  <c r="O56" i="119"/>
  <c r="O57" i="119" s="1"/>
  <c r="P59" i="118"/>
  <c r="P60" i="118" s="1"/>
  <c r="P61" i="118"/>
  <c r="Q58" i="118" s="1"/>
  <c r="Q49" i="118"/>
  <c r="R46" i="118" s="1"/>
  <c r="Q47" i="118"/>
  <c r="Q48" i="118" s="1"/>
  <c r="N45" i="119"/>
  <c r="N66" i="119"/>
  <c r="B99" i="119" s="1"/>
  <c r="D43" i="118"/>
  <c r="D62" i="118"/>
  <c r="C14" i="69" s="1"/>
  <c r="C16" i="69" s="1"/>
  <c r="N46" i="119"/>
  <c r="G97" i="29"/>
  <c r="G61" i="29"/>
  <c r="E93" i="118"/>
  <c r="G11" i="29"/>
  <c r="E98" i="119"/>
  <c r="D98" i="119"/>
  <c r="F97" i="29"/>
  <c r="D93" i="118"/>
  <c r="F61" i="29"/>
  <c r="F11" i="29"/>
  <c r="H61" i="29"/>
  <c r="F93" i="118"/>
  <c r="H97" i="29"/>
  <c r="F98" i="119"/>
  <c r="H11" i="29"/>
  <c r="O40" i="118"/>
  <c r="N65" i="118"/>
  <c r="I61" i="29"/>
  <c r="G93" i="118"/>
  <c r="I97" i="29"/>
  <c r="I11" i="29"/>
  <c r="G98" i="119"/>
  <c r="D45" i="119"/>
  <c r="C67" i="119"/>
  <c r="B15" i="69"/>
  <c r="B16" i="69" s="1"/>
  <c r="B47" i="21"/>
  <c r="J11" i="29"/>
  <c r="J61" i="29"/>
  <c r="J97" i="29"/>
  <c r="H98" i="119"/>
  <c r="H93" i="118"/>
  <c r="C98" i="119"/>
  <c r="E61" i="29"/>
  <c r="E11" i="29"/>
  <c r="E97" i="29"/>
  <c r="C93" i="118"/>
  <c r="D42" i="118"/>
  <c r="C64" i="118"/>
  <c r="N42" i="118"/>
  <c r="N63" i="118"/>
  <c r="O38" i="119"/>
  <c r="O40" i="119"/>
  <c r="D68" i="119"/>
  <c r="E37" i="119"/>
  <c r="F39" i="119"/>
  <c r="P34" i="118"/>
  <c r="F34" i="118"/>
  <c r="G36" i="118"/>
  <c r="F183" i="53" l="1"/>
  <c r="E15" i="61"/>
  <c r="F6" i="61" s="1"/>
  <c r="E259" i="53" s="1"/>
  <c r="B13" i="21"/>
  <c r="E34" i="61"/>
  <c r="F188" i="53"/>
  <c r="F251" i="53"/>
  <c r="H10" i="53"/>
  <c r="H63" i="53" s="1"/>
  <c r="G93" i="81"/>
  <c r="E183" i="53"/>
  <c r="E246" i="53"/>
  <c r="E58" i="81"/>
  <c r="F27" i="55"/>
  <c r="F85" i="55" s="1"/>
  <c r="F142" i="53"/>
  <c r="F209" i="53"/>
  <c r="D182" i="55"/>
  <c r="D181" i="55"/>
  <c r="E137" i="55"/>
  <c r="E185" i="55" s="1"/>
  <c r="E230" i="55"/>
  <c r="E32" i="72"/>
  <c r="F211" i="53"/>
  <c r="F144" i="53"/>
  <c r="D164" i="72"/>
  <c r="K1838" i="95" s="1"/>
  <c r="G136" i="53"/>
  <c r="G203" i="53"/>
  <c r="G198" i="53"/>
  <c r="G131" i="53"/>
  <c r="T687" i="95"/>
  <c r="V687" i="95" s="1"/>
  <c r="F46" i="81"/>
  <c r="G15" i="55"/>
  <c r="G73" i="55" s="1"/>
  <c r="G126" i="55" s="1"/>
  <c r="E182" i="53"/>
  <c r="E245" i="53"/>
  <c r="F15" i="61" s="1"/>
  <c r="G130" i="53"/>
  <c r="G197" i="53"/>
  <c r="F60" i="81"/>
  <c r="G29" i="55"/>
  <c r="G87" i="55" s="1"/>
  <c r="E82" i="81"/>
  <c r="F28" i="72"/>
  <c r="F53" i="72" s="1"/>
  <c r="L68" i="81"/>
  <c r="F68" i="81"/>
  <c r="G14" i="72"/>
  <c r="G39" i="72" s="1"/>
  <c r="E76" i="81"/>
  <c r="F22" i="72"/>
  <c r="F47" i="72" s="1"/>
  <c r="Q692" i="95"/>
  <c r="S692" i="95" s="1"/>
  <c r="G137" i="53"/>
  <c r="G204" i="53"/>
  <c r="G150" i="53"/>
  <c r="G217" i="53"/>
  <c r="E49" i="72"/>
  <c r="E101" i="72"/>
  <c r="E81" i="81"/>
  <c r="F27" i="72"/>
  <c r="F52" i="72" s="1"/>
  <c r="E96" i="72"/>
  <c r="E141" i="72" s="1"/>
  <c r="E97" i="72"/>
  <c r="E99" i="72"/>
  <c r="E155" i="72"/>
  <c r="G17" i="55"/>
  <c r="G75" i="55" s="1"/>
  <c r="G128" i="55" s="1"/>
  <c r="T689" i="95"/>
  <c r="V689" i="95" s="1"/>
  <c r="F48" i="81"/>
  <c r="F103" i="81"/>
  <c r="G20" i="53"/>
  <c r="G73" i="53" s="1"/>
  <c r="F232" i="55"/>
  <c r="F139" i="55"/>
  <c r="F187" i="55" s="1"/>
  <c r="F206" i="53"/>
  <c r="F139" i="53"/>
  <c r="F116" i="53"/>
  <c r="F207" i="53"/>
  <c r="F140" i="53"/>
  <c r="E53" i="81"/>
  <c r="F22" i="55"/>
  <c r="F80" i="55" s="1"/>
  <c r="F133" i="55" s="1"/>
  <c r="Q694" i="95"/>
  <c r="S694" i="95" s="1"/>
  <c r="F42" i="81"/>
  <c r="T683" i="95"/>
  <c r="V683" i="95" s="1"/>
  <c r="F213" i="53"/>
  <c r="F146" i="53"/>
  <c r="E57" i="81"/>
  <c r="F26" i="55"/>
  <c r="F84" i="55" s="1"/>
  <c r="E50" i="72"/>
  <c r="E103" i="72"/>
  <c r="E104" i="72"/>
  <c r="E145" i="72"/>
  <c r="F83" i="72"/>
  <c r="F82" i="72"/>
  <c r="F44" i="72"/>
  <c r="G18" i="72"/>
  <c r="G43" i="72" s="1"/>
  <c r="F72" i="81"/>
  <c r="L72" i="81"/>
  <c r="E228" i="55"/>
  <c r="E135" i="55"/>
  <c r="E183" i="55" s="1"/>
  <c r="F85" i="81"/>
  <c r="G31" i="72"/>
  <c r="G56" i="72" s="1"/>
  <c r="E254" i="53"/>
  <c r="F101" i="81"/>
  <c r="G18" i="53"/>
  <c r="G71" i="53" s="1"/>
  <c r="F210" i="53"/>
  <c r="F143" i="53"/>
  <c r="H27" i="53"/>
  <c r="H80" i="53" s="1"/>
  <c r="G110" i="81"/>
  <c r="F106" i="81"/>
  <c r="G23" i="53"/>
  <c r="G76" i="53" s="1"/>
  <c r="F62" i="81"/>
  <c r="G31" i="55"/>
  <c r="G89" i="55" s="1"/>
  <c r="F157" i="72"/>
  <c r="F79" i="72"/>
  <c r="F143" i="72" s="1"/>
  <c r="F80" i="72"/>
  <c r="F105" i="81"/>
  <c r="G22" i="53"/>
  <c r="G75" i="53" s="1"/>
  <c r="G98" i="81"/>
  <c r="H15" i="53"/>
  <c r="H68" i="53" s="1"/>
  <c r="G234" i="55"/>
  <c r="G141" i="55"/>
  <c r="G189" i="55" s="1"/>
  <c r="G111" i="81"/>
  <c r="H28" i="53"/>
  <c r="H81" i="53" s="1"/>
  <c r="E253" i="53"/>
  <c r="G92" i="81"/>
  <c r="H9" i="53"/>
  <c r="H62" i="53" s="1"/>
  <c r="F233" i="55"/>
  <c r="F140" i="55"/>
  <c r="F188" i="55" s="1"/>
  <c r="F65" i="72"/>
  <c r="F64" i="72"/>
  <c r="F142" i="72" s="1"/>
  <c r="F156" i="72"/>
  <c r="E136" i="55"/>
  <c r="E184" i="55" s="1"/>
  <c r="E229" i="55"/>
  <c r="E93" i="72"/>
  <c r="E94" i="72"/>
  <c r="G99" i="81"/>
  <c r="H16" i="53"/>
  <c r="H69" i="53" s="1"/>
  <c r="G112" i="81"/>
  <c r="H29" i="53"/>
  <c r="H82" i="53" s="1"/>
  <c r="E78" i="81"/>
  <c r="F24" i="72"/>
  <c r="F86" i="72"/>
  <c r="F85" i="72"/>
  <c r="F145" i="53"/>
  <c r="F212" i="53"/>
  <c r="F59" i="81"/>
  <c r="G28" i="55"/>
  <c r="G86" i="55" s="1"/>
  <c r="E52" i="81"/>
  <c r="F21" i="55"/>
  <c r="F79" i="55" s="1"/>
  <c r="F132" i="55" s="1"/>
  <c r="Q693" i="95"/>
  <c r="S693" i="95" s="1"/>
  <c r="F102" i="81"/>
  <c r="G19" i="53"/>
  <c r="G72" i="53" s="1"/>
  <c r="F38" i="72"/>
  <c r="F74" i="72"/>
  <c r="F75" i="72"/>
  <c r="F42" i="72"/>
  <c r="G134" i="53"/>
  <c r="G201" i="53"/>
  <c r="E227" i="55"/>
  <c r="E134" i="55"/>
  <c r="F49" i="81"/>
  <c r="G18" i="55"/>
  <c r="G76" i="55" s="1"/>
  <c r="G129" i="55" s="1"/>
  <c r="E79" i="81"/>
  <c r="F25" i="72"/>
  <c r="F73" i="81"/>
  <c r="G19" i="72"/>
  <c r="F75" i="81"/>
  <c r="G21" i="72"/>
  <c r="G46" i="72" s="1"/>
  <c r="H14" i="53"/>
  <c r="H67" i="53" s="1"/>
  <c r="G97" i="81"/>
  <c r="F47" i="81"/>
  <c r="G16" i="55"/>
  <c r="G74" i="55" s="1"/>
  <c r="G127" i="55" s="1"/>
  <c r="K77" i="81"/>
  <c r="E77" i="81"/>
  <c r="F23" i="72"/>
  <c r="F48" i="72" s="1"/>
  <c r="F141" i="53"/>
  <c r="F208" i="53"/>
  <c r="F84" i="81"/>
  <c r="G30" i="72"/>
  <c r="G55" i="72" s="1"/>
  <c r="F108" i="81"/>
  <c r="G25" i="53"/>
  <c r="G78" i="53" s="1"/>
  <c r="G148" i="53"/>
  <c r="G215" i="53"/>
  <c r="F50" i="81"/>
  <c r="G19" i="55"/>
  <c r="G77" i="55" s="1"/>
  <c r="G130" i="55" s="1"/>
  <c r="E55" i="81"/>
  <c r="F24" i="55"/>
  <c r="F82" i="55" s="1"/>
  <c r="G116" i="53"/>
  <c r="F235" i="55"/>
  <c r="F142" i="55"/>
  <c r="F190" i="55" s="1"/>
  <c r="E80" i="81"/>
  <c r="F26" i="72"/>
  <c r="F51" i="72" s="1"/>
  <c r="G61" i="81"/>
  <c r="H30" i="55"/>
  <c r="H88" i="55" s="1"/>
  <c r="G149" i="53"/>
  <c r="G216" i="53"/>
  <c r="G202" i="53"/>
  <c r="G135" i="53"/>
  <c r="E231" i="55"/>
  <c r="E138" i="55"/>
  <c r="E186" i="55" s="1"/>
  <c r="F104" i="81"/>
  <c r="G21" i="53"/>
  <c r="G74" i="53" s="1"/>
  <c r="E56" i="81"/>
  <c r="F25" i="55"/>
  <c r="F83" i="55" s="1"/>
  <c r="D159" i="72"/>
  <c r="D12" i="72"/>
  <c r="D36" i="72"/>
  <c r="D147" i="72" s="1"/>
  <c r="D151" i="72" s="1"/>
  <c r="F74" i="81"/>
  <c r="G20" i="72"/>
  <c r="G45" i="72" s="1"/>
  <c r="T684" i="95"/>
  <c r="V684" i="95" s="1"/>
  <c r="F43" i="81"/>
  <c r="F107" i="81"/>
  <c r="G24" i="53"/>
  <c r="G77" i="53" s="1"/>
  <c r="H69" i="81"/>
  <c r="J15" i="72" s="1"/>
  <c r="J40" i="72" s="1"/>
  <c r="I15" i="72"/>
  <c r="I40" i="72" s="1"/>
  <c r="F118" i="53"/>
  <c r="F67" i="81"/>
  <c r="G13" i="72"/>
  <c r="F71" i="81"/>
  <c r="G17" i="72"/>
  <c r="H13" i="53"/>
  <c r="H66" i="53" s="1"/>
  <c r="G96" i="81"/>
  <c r="H44" i="81"/>
  <c r="J13" i="55" s="1"/>
  <c r="J71" i="55" s="1"/>
  <c r="J124" i="55" s="1"/>
  <c r="I13" i="55"/>
  <c r="I71" i="55" s="1"/>
  <c r="I124" i="55" s="1"/>
  <c r="E54" i="81"/>
  <c r="F23" i="55"/>
  <c r="F81" i="55" s="1"/>
  <c r="E83" i="81"/>
  <c r="F29" i="72"/>
  <c r="F54" i="72" s="1"/>
  <c r="F114" i="53"/>
  <c r="O1866" i="95"/>
  <c r="I14" i="55"/>
  <c r="H45" i="81"/>
  <c r="J14" i="55" s="1"/>
  <c r="F144" i="72"/>
  <c r="G71" i="72"/>
  <c r="G72" i="72"/>
  <c r="G158" i="72"/>
  <c r="I12" i="53"/>
  <c r="I65" i="53" s="1"/>
  <c r="H95" i="81"/>
  <c r="J12" i="53" s="1"/>
  <c r="J65" i="53" s="1"/>
  <c r="H70" i="81"/>
  <c r="J16" i="72" s="1"/>
  <c r="I16" i="72"/>
  <c r="H200" i="53"/>
  <c r="H133" i="53"/>
  <c r="H41" i="72"/>
  <c r="H72" i="55"/>
  <c r="H125" i="55" s="1"/>
  <c r="G65" i="21"/>
  <c r="G41" i="21"/>
  <c r="J179" i="72"/>
  <c r="H33" i="21" s="1"/>
  <c r="R47" i="118"/>
  <c r="R48" i="118" s="1"/>
  <c r="Q59" i="118"/>
  <c r="Q60" i="118" s="1"/>
  <c r="Q61" i="118"/>
  <c r="R58" i="118" s="1"/>
  <c r="P56" i="119"/>
  <c r="P57" i="119" s="1"/>
  <c r="P50" i="119"/>
  <c r="P51" i="119" s="1"/>
  <c r="P52" i="119"/>
  <c r="Q49" i="119" s="1"/>
  <c r="P64" i="119"/>
  <c r="Q61" i="119" s="1"/>
  <c r="P55" i="118"/>
  <c r="Q52" i="118" s="1"/>
  <c r="P53" i="118"/>
  <c r="P54" i="118" s="1"/>
  <c r="E42" i="118"/>
  <c r="D64" i="118"/>
  <c r="E40" i="118"/>
  <c r="D65" i="118"/>
  <c r="B94" i="118"/>
  <c r="D46" i="29"/>
  <c r="N64" i="118"/>
  <c r="E45" i="119"/>
  <c r="D67" i="119"/>
  <c r="O41" i="118"/>
  <c r="O63" i="118" s="1"/>
  <c r="O62" i="118"/>
  <c r="O43" i="119"/>
  <c r="N68" i="119"/>
  <c r="D11" i="29"/>
  <c r="B93" i="118"/>
  <c r="B98" i="119"/>
  <c r="D61" i="29"/>
  <c r="D97" i="29"/>
  <c r="N67" i="119"/>
  <c r="P37" i="119"/>
  <c r="G39" i="119"/>
  <c r="E40" i="119"/>
  <c r="E65" i="119"/>
  <c r="O39" i="119"/>
  <c r="H36" i="118"/>
  <c r="F37" i="118"/>
  <c r="P35" i="118"/>
  <c r="E164" i="72" l="1"/>
  <c r="D260" i="53"/>
  <c r="D262" i="53" s="1"/>
  <c r="F253" i="53"/>
  <c r="M15" i="61"/>
  <c r="G184" i="53"/>
  <c r="E191" i="53"/>
  <c r="C13" i="21" s="1"/>
  <c r="B9" i="21"/>
  <c r="E37" i="61"/>
  <c r="F250" i="53"/>
  <c r="F187" i="53"/>
  <c r="G74" i="81"/>
  <c r="H20" i="72"/>
  <c r="H45" i="72" s="1"/>
  <c r="F104" i="72"/>
  <c r="F50" i="72"/>
  <c r="F103" i="72"/>
  <c r="F101" i="72"/>
  <c r="F49" i="72"/>
  <c r="I28" i="53"/>
  <c r="I81" i="53" s="1"/>
  <c r="H111" i="81"/>
  <c r="J28" i="53" s="1"/>
  <c r="J81" i="53" s="1"/>
  <c r="I15" i="53"/>
  <c r="I68" i="53" s="1"/>
  <c r="H98" i="81"/>
  <c r="J15" i="53" s="1"/>
  <c r="J68" i="53" s="1"/>
  <c r="G211" i="53"/>
  <c r="G144" i="53"/>
  <c r="G65" i="72"/>
  <c r="G156" i="72"/>
  <c r="G64" i="72"/>
  <c r="G142" i="72" s="1"/>
  <c r="F82" i="81"/>
  <c r="G28" i="72"/>
  <c r="G53" i="72" s="1"/>
  <c r="W687" i="95"/>
  <c r="Y687" i="95" s="1"/>
  <c r="G46" i="81"/>
  <c r="H15" i="55"/>
  <c r="H73" i="55" s="1"/>
  <c r="H126" i="55" s="1"/>
  <c r="B25" i="21"/>
  <c r="J25" i="21" s="1"/>
  <c r="D274" i="53"/>
  <c r="D276" i="53" s="1"/>
  <c r="E47" i="61"/>
  <c r="F83" i="81"/>
  <c r="G29" i="72"/>
  <c r="G54" i="72" s="1"/>
  <c r="H17" i="72"/>
  <c r="G71" i="81"/>
  <c r="G43" i="81"/>
  <c r="H43" i="81" s="1"/>
  <c r="W684" i="95"/>
  <c r="Y684" i="95" s="1"/>
  <c r="D37" i="72"/>
  <c r="F136" i="55"/>
  <c r="F184" i="55" s="1"/>
  <c r="F229" i="55"/>
  <c r="F254" i="53"/>
  <c r="F228" i="55"/>
  <c r="F135" i="55"/>
  <c r="F183" i="55" s="1"/>
  <c r="F97" i="72"/>
  <c r="F99" i="72"/>
  <c r="F145" i="72" s="1"/>
  <c r="F96" i="72"/>
  <c r="F141" i="72" s="1"/>
  <c r="F155" i="72"/>
  <c r="G47" i="81"/>
  <c r="H16" i="55"/>
  <c r="H74" i="55" s="1"/>
  <c r="H127" i="55" s="1"/>
  <c r="G75" i="81"/>
  <c r="H21" i="72"/>
  <c r="H46" i="72" s="1"/>
  <c r="F79" i="81"/>
  <c r="G25" i="72"/>
  <c r="G207" i="53"/>
  <c r="G140" i="53"/>
  <c r="F52" i="81"/>
  <c r="G21" i="55"/>
  <c r="G79" i="55" s="1"/>
  <c r="G132" i="55" s="1"/>
  <c r="T693" i="95"/>
  <c r="V693" i="95" s="1"/>
  <c r="F78" i="81"/>
  <c r="G24" i="72"/>
  <c r="H99" i="81"/>
  <c r="J16" i="53" s="1"/>
  <c r="J69" i="53" s="1"/>
  <c r="I16" i="53"/>
  <c r="I69" i="53" s="1"/>
  <c r="G143" i="53"/>
  <c r="G210" i="53"/>
  <c r="G106" i="81"/>
  <c r="H23" i="53"/>
  <c r="H76" i="53" s="1"/>
  <c r="F57" i="81"/>
  <c r="G26" i="55"/>
  <c r="G84" i="55" s="1"/>
  <c r="G42" i="81"/>
  <c r="H42" i="81" s="1"/>
  <c r="W683" i="95"/>
  <c r="Y683" i="95" s="1"/>
  <c r="G103" i="81"/>
  <c r="H20" i="53"/>
  <c r="H73" i="53" s="1"/>
  <c r="M68" i="81"/>
  <c r="H14" i="72"/>
  <c r="H39" i="72" s="1"/>
  <c r="G68" i="81"/>
  <c r="G140" i="55"/>
  <c r="G188" i="55" s="1"/>
  <c r="G233" i="55"/>
  <c r="G6" i="61"/>
  <c r="F259" i="53" s="1"/>
  <c r="E260" i="53"/>
  <c r="E262" i="53" s="1"/>
  <c r="E36" i="72"/>
  <c r="E147" i="72" s="1"/>
  <c r="E151" i="72" s="1"/>
  <c r="E12" i="72"/>
  <c r="E159" i="72"/>
  <c r="E37" i="72"/>
  <c r="F58" i="81"/>
  <c r="G27" i="55"/>
  <c r="G85" i="55" s="1"/>
  <c r="H198" i="53"/>
  <c r="H131" i="53"/>
  <c r="G108" i="81"/>
  <c r="H25" i="53"/>
  <c r="H78" i="53" s="1"/>
  <c r="E182" i="55"/>
  <c r="E181" i="55"/>
  <c r="H137" i="53"/>
  <c r="H204" i="53"/>
  <c r="I9" i="53"/>
  <c r="I62" i="53" s="1"/>
  <c r="H92" i="81"/>
  <c r="J9" i="53" s="1"/>
  <c r="J62" i="53" s="1"/>
  <c r="G119" i="53"/>
  <c r="G101" i="81"/>
  <c r="H18" i="53"/>
  <c r="H71" i="53" s="1"/>
  <c r="G80" i="72"/>
  <c r="G79" i="72"/>
  <c r="G143" i="72" s="1"/>
  <c r="G157" i="72"/>
  <c r="F137" i="55"/>
  <c r="F185" i="55" s="1"/>
  <c r="F230" i="55"/>
  <c r="F53" i="81"/>
  <c r="G22" i="55"/>
  <c r="G80" i="55" s="1"/>
  <c r="G133" i="55" s="1"/>
  <c r="T694" i="95"/>
  <c r="V694" i="95" s="1"/>
  <c r="G208" i="53"/>
  <c r="G141" i="53"/>
  <c r="F138" i="55"/>
  <c r="F186" i="55" s="1"/>
  <c r="F231" i="55"/>
  <c r="I10" i="53"/>
  <c r="I63" i="53" s="1"/>
  <c r="H93" i="81"/>
  <c r="J10" i="53" s="1"/>
  <c r="J63" i="53" s="1"/>
  <c r="E162" i="72"/>
  <c r="G247" i="53"/>
  <c r="F134" i="55"/>
  <c r="F227" i="55"/>
  <c r="I13" i="53"/>
  <c r="I66" i="53" s="1"/>
  <c r="H96" i="81"/>
  <c r="J13" i="53" s="1"/>
  <c r="J66" i="53" s="1"/>
  <c r="G38" i="72"/>
  <c r="F56" i="81"/>
  <c r="G25" i="55"/>
  <c r="G83" i="55" s="1"/>
  <c r="G26" i="72"/>
  <c r="G51" i="72" s="1"/>
  <c r="F80" i="81"/>
  <c r="F55" i="81"/>
  <c r="G24" i="55"/>
  <c r="G82" i="55" s="1"/>
  <c r="G84" i="81"/>
  <c r="H30" i="72"/>
  <c r="H55" i="72" s="1"/>
  <c r="G23" i="72"/>
  <c r="G48" i="72" s="1"/>
  <c r="F77" i="81"/>
  <c r="L77" i="81"/>
  <c r="I14" i="53"/>
  <c r="I67" i="53" s="1"/>
  <c r="H97" i="81"/>
  <c r="J14" i="53" s="1"/>
  <c r="J67" i="53" s="1"/>
  <c r="G82" i="72"/>
  <c r="G83" i="72"/>
  <c r="G44" i="72"/>
  <c r="G102" i="81"/>
  <c r="H19" i="53"/>
  <c r="H72" i="53" s="1"/>
  <c r="G139" i="55"/>
  <c r="G187" i="55" s="1"/>
  <c r="G232" i="55"/>
  <c r="H150" i="53"/>
  <c r="H217" i="53"/>
  <c r="G105" i="81"/>
  <c r="H22" i="53"/>
  <c r="H75" i="53" s="1"/>
  <c r="H115" i="53" s="1"/>
  <c r="G235" i="55"/>
  <c r="G142" i="55"/>
  <c r="G190" i="55" s="1"/>
  <c r="I27" i="53"/>
  <c r="I80" i="53" s="1"/>
  <c r="H110" i="81"/>
  <c r="J27" i="53" s="1"/>
  <c r="J80" i="53" s="1"/>
  <c r="D70" i="55"/>
  <c r="D33" i="55"/>
  <c r="H17" i="55"/>
  <c r="H75" i="55" s="1"/>
  <c r="H128" i="55" s="1"/>
  <c r="G48" i="81"/>
  <c r="W689" i="95"/>
  <c r="Y689" i="95" s="1"/>
  <c r="F81" i="81"/>
  <c r="G27" i="72"/>
  <c r="G52" i="72" s="1"/>
  <c r="F94" i="72"/>
  <c r="F93" i="72"/>
  <c r="G60" i="81"/>
  <c r="H29" i="55"/>
  <c r="H87" i="55" s="1"/>
  <c r="F34" i="61"/>
  <c r="G74" i="72"/>
  <c r="G75" i="72"/>
  <c r="G42" i="72"/>
  <c r="G107" i="81"/>
  <c r="H24" i="53"/>
  <c r="H77" i="53" s="1"/>
  <c r="G104" i="81"/>
  <c r="H21" i="53"/>
  <c r="H74" i="53" s="1"/>
  <c r="H114" i="53" s="1"/>
  <c r="H61" i="81"/>
  <c r="J30" i="55" s="1"/>
  <c r="J88" i="55" s="1"/>
  <c r="I30" i="55"/>
  <c r="I88" i="55" s="1"/>
  <c r="G50" i="81"/>
  <c r="H19" i="55"/>
  <c r="H77" i="55" s="1"/>
  <c r="H130" i="55" s="1"/>
  <c r="F182" i="53"/>
  <c r="F245" i="53"/>
  <c r="G15" i="61" s="1"/>
  <c r="F54" i="81"/>
  <c r="G23" i="55"/>
  <c r="G81" i="55" s="1"/>
  <c r="H134" i="53"/>
  <c r="H201" i="53"/>
  <c r="G67" i="81"/>
  <c r="H13" i="72"/>
  <c r="G212" i="53"/>
  <c r="G145" i="53"/>
  <c r="G85" i="72"/>
  <c r="G86" i="72"/>
  <c r="D161" i="72"/>
  <c r="D160" i="72"/>
  <c r="G209" i="53"/>
  <c r="G142" i="53"/>
  <c r="H234" i="55"/>
  <c r="H141" i="55"/>
  <c r="H189" i="55" s="1"/>
  <c r="G118" i="53"/>
  <c r="G213" i="53"/>
  <c r="G146" i="53"/>
  <c r="H202" i="53"/>
  <c r="H135" i="53"/>
  <c r="G73" i="81"/>
  <c r="H19" i="72"/>
  <c r="G49" i="81"/>
  <c r="H18" i="55"/>
  <c r="H76" i="55" s="1"/>
  <c r="H129" i="55" s="1"/>
  <c r="F32" i="72"/>
  <c r="G59" i="81"/>
  <c r="H28" i="55"/>
  <c r="H86" i="55" s="1"/>
  <c r="H112" i="81"/>
  <c r="J29" i="53" s="1"/>
  <c r="J82" i="53" s="1"/>
  <c r="I29" i="53"/>
  <c r="I82" i="53" s="1"/>
  <c r="H130" i="53"/>
  <c r="H197" i="53"/>
  <c r="H149" i="53"/>
  <c r="H216" i="53"/>
  <c r="H136" i="53"/>
  <c r="H203" i="53"/>
  <c r="G62" i="81"/>
  <c r="H31" i="55"/>
  <c r="H89" i="55" s="1"/>
  <c r="H148" i="53"/>
  <c r="H215" i="53"/>
  <c r="G139" i="53"/>
  <c r="G206" i="53"/>
  <c r="G115" i="53"/>
  <c r="G114" i="53"/>
  <c r="G85" i="81"/>
  <c r="H31" i="72"/>
  <c r="H56" i="72" s="1"/>
  <c r="G72" i="81"/>
  <c r="H18" i="72"/>
  <c r="H43" i="72" s="1"/>
  <c r="M72" i="81"/>
  <c r="F184" i="53"/>
  <c r="F247" i="53"/>
  <c r="E70" i="55"/>
  <c r="E33" i="55"/>
  <c r="F76" i="81"/>
  <c r="G22" i="72"/>
  <c r="G47" i="72" s="1"/>
  <c r="T692" i="95"/>
  <c r="V692" i="95" s="1"/>
  <c r="M16" i="61"/>
  <c r="X15" i="61"/>
  <c r="D128" i="29"/>
  <c r="D144" i="29"/>
  <c r="D176" i="29"/>
  <c r="D37" i="29"/>
  <c r="D160" i="29"/>
  <c r="H158" i="72"/>
  <c r="H72" i="72"/>
  <c r="H71" i="72"/>
  <c r="J200" i="53"/>
  <c r="J133" i="53"/>
  <c r="I41" i="72"/>
  <c r="J41" i="72"/>
  <c r="G144" i="72"/>
  <c r="I72" i="55"/>
  <c r="I125" i="55" s="1"/>
  <c r="I200" i="53"/>
  <c r="I133" i="53"/>
  <c r="J72" i="55"/>
  <c r="J125" i="55" s="1"/>
  <c r="H65" i="21"/>
  <c r="H41" i="21"/>
  <c r="I133" i="29"/>
  <c r="I149" i="29"/>
  <c r="I181" i="29"/>
  <c r="I165" i="29"/>
  <c r="H26" i="68"/>
  <c r="Q53" i="118"/>
  <c r="Q55" i="118"/>
  <c r="R52" i="118" s="1"/>
  <c r="P58" i="119"/>
  <c r="Q55" i="119" s="1"/>
  <c r="Q62" i="119"/>
  <c r="Q63" i="119" s="1"/>
  <c r="Q50" i="119"/>
  <c r="Q51" i="119" s="1"/>
  <c r="R59" i="118"/>
  <c r="R60" i="118" s="1"/>
  <c r="R49" i="118"/>
  <c r="S46" i="118" s="1"/>
  <c r="Q54" i="118"/>
  <c r="O43" i="118"/>
  <c r="P40" i="118" s="1"/>
  <c r="C94" i="118"/>
  <c r="E46" i="29"/>
  <c r="O42" i="118"/>
  <c r="E43" i="118"/>
  <c r="E62" i="118"/>
  <c r="D14" i="69" s="1"/>
  <c r="D16" i="69" s="1"/>
  <c r="O44" i="119"/>
  <c r="O46" i="119" s="1"/>
  <c r="O65" i="119"/>
  <c r="F45" i="119"/>
  <c r="E67" i="119"/>
  <c r="F42" i="118"/>
  <c r="E64" i="118"/>
  <c r="H39" i="119"/>
  <c r="E68" i="119"/>
  <c r="F37" i="119"/>
  <c r="P38" i="119"/>
  <c r="P36" i="118"/>
  <c r="P37" i="118"/>
  <c r="I36" i="118"/>
  <c r="G34" i="118"/>
  <c r="E123" i="55" l="1"/>
  <c r="E226" i="55"/>
  <c r="D123" i="55"/>
  <c r="D226" i="55"/>
  <c r="E17" i="61"/>
  <c r="F191" i="53"/>
  <c r="D13" i="21" s="1"/>
  <c r="F128" i="29" s="1"/>
  <c r="F47" i="61"/>
  <c r="C25" i="21"/>
  <c r="E274" i="53"/>
  <c r="E276" i="53" s="1"/>
  <c r="H246" i="53"/>
  <c r="H183" i="53"/>
  <c r="F260" i="53"/>
  <c r="F262" i="53" s="1"/>
  <c r="H6" i="61"/>
  <c r="G259" i="53" s="1"/>
  <c r="H182" i="53"/>
  <c r="H245" i="53"/>
  <c r="F8" i="61"/>
  <c r="E169" i="72" s="1"/>
  <c r="D170" i="72"/>
  <c r="D172" i="72" s="1"/>
  <c r="F37" i="61"/>
  <c r="C9" i="21"/>
  <c r="H72" i="81"/>
  <c r="J18" i="72" s="1"/>
  <c r="J43" i="72" s="1"/>
  <c r="I18" i="72"/>
  <c r="I43" i="72" s="1"/>
  <c r="H50" i="81"/>
  <c r="J19" i="55" s="1"/>
  <c r="J77" i="55" s="1"/>
  <c r="J130" i="55" s="1"/>
  <c r="I19" i="55"/>
  <c r="I77" i="55" s="1"/>
  <c r="I130" i="55" s="1"/>
  <c r="J148" i="53"/>
  <c r="J215" i="53"/>
  <c r="G80" i="81"/>
  <c r="H26" i="72"/>
  <c r="H51" i="72" s="1"/>
  <c r="I198" i="53"/>
  <c r="I131" i="53"/>
  <c r="J130" i="53"/>
  <c r="J197" i="53"/>
  <c r="G231" i="55"/>
  <c r="G138" i="55"/>
  <c r="G186" i="55" s="1"/>
  <c r="H106" i="81"/>
  <c r="J23" i="53" s="1"/>
  <c r="J76" i="53" s="1"/>
  <c r="I23" i="53"/>
  <c r="I76" i="53" s="1"/>
  <c r="F164" i="72"/>
  <c r="H22" i="72"/>
  <c r="H47" i="72" s="1"/>
  <c r="G76" i="81"/>
  <c r="W692" i="95"/>
  <c r="Y692" i="95" s="1"/>
  <c r="H235" i="55"/>
  <c r="H142" i="55"/>
  <c r="H190" i="55" s="1"/>
  <c r="I150" i="53"/>
  <c r="I217" i="53"/>
  <c r="F159" i="72"/>
  <c r="F36" i="72"/>
  <c r="F147" i="72" s="1"/>
  <c r="F151" i="72" s="1"/>
  <c r="F12" i="72"/>
  <c r="I19" i="72"/>
  <c r="H73" i="81"/>
  <c r="J19" i="72" s="1"/>
  <c r="H38" i="72"/>
  <c r="G227" i="55"/>
  <c r="G134" i="55"/>
  <c r="I141" i="55"/>
  <c r="I189" i="55" s="1"/>
  <c r="I234" i="55"/>
  <c r="H212" i="53"/>
  <c r="H145" i="53"/>
  <c r="H60" i="81"/>
  <c r="J29" i="55" s="1"/>
  <c r="J87" i="55" s="1"/>
  <c r="I29" i="55"/>
  <c r="I87" i="55" s="1"/>
  <c r="H27" i="72"/>
  <c r="H52" i="72" s="1"/>
  <c r="G81" i="81"/>
  <c r="T33" i="55"/>
  <c r="T34" i="55" s="1"/>
  <c r="D10" i="55"/>
  <c r="D66" i="55"/>
  <c r="D192" i="55" s="1"/>
  <c r="I148" i="53"/>
  <c r="I215" i="53"/>
  <c r="H105" i="81"/>
  <c r="J22" i="53" s="1"/>
  <c r="J75" i="53" s="1"/>
  <c r="I22" i="53"/>
  <c r="I75" i="53" s="1"/>
  <c r="H84" i="81"/>
  <c r="J30" i="72" s="1"/>
  <c r="J55" i="72" s="1"/>
  <c r="I30" i="72"/>
  <c r="I55" i="72" s="1"/>
  <c r="F182" i="55"/>
  <c r="F181" i="55"/>
  <c r="H206" i="53"/>
  <c r="H139" i="53"/>
  <c r="I130" i="53"/>
  <c r="I197" i="53"/>
  <c r="G58" i="81"/>
  <c r="H27" i="55"/>
  <c r="H85" i="55" s="1"/>
  <c r="H208" i="53"/>
  <c r="H141" i="53"/>
  <c r="G137" i="55"/>
  <c r="G185" i="55" s="1"/>
  <c r="G230" i="55"/>
  <c r="G101" i="72"/>
  <c r="G49" i="72"/>
  <c r="G52" i="81"/>
  <c r="H21" i="55"/>
  <c r="H79" i="55" s="1"/>
  <c r="H132" i="55" s="1"/>
  <c r="W693" i="95"/>
  <c r="Y693" i="95" s="1"/>
  <c r="G79" i="81"/>
  <c r="H25" i="72"/>
  <c r="I16" i="55"/>
  <c r="I74" i="55" s="1"/>
  <c r="I127" i="55" s="1"/>
  <c r="H47" i="81"/>
  <c r="J16" i="55" s="1"/>
  <c r="J74" i="55" s="1"/>
  <c r="J127" i="55" s="1"/>
  <c r="F70" i="55"/>
  <c r="F33" i="55"/>
  <c r="G83" i="81"/>
  <c r="H29" i="72"/>
  <c r="H54" i="72" s="1"/>
  <c r="I136" i="53"/>
  <c r="I203" i="53"/>
  <c r="H86" i="72"/>
  <c r="H85" i="72"/>
  <c r="H116" i="53"/>
  <c r="G93" i="72"/>
  <c r="G94" i="72"/>
  <c r="I28" i="55"/>
  <c r="I86" i="55" s="1"/>
  <c r="H59" i="81"/>
  <c r="J28" i="55" s="1"/>
  <c r="J86" i="55" s="1"/>
  <c r="H83" i="72"/>
  <c r="H82" i="72"/>
  <c r="H44" i="72"/>
  <c r="H104" i="81"/>
  <c r="J21" i="53" s="1"/>
  <c r="J74" i="53" s="1"/>
  <c r="I21" i="53"/>
  <c r="I74" i="53" s="1"/>
  <c r="E161" i="72"/>
  <c r="E160" i="72"/>
  <c r="G103" i="72"/>
  <c r="G104" i="72"/>
  <c r="G50" i="72"/>
  <c r="J136" i="53"/>
  <c r="J203" i="53"/>
  <c r="G34" i="61"/>
  <c r="E10" i="55"/>
  <c r="E66" i="55"/>
  <c r="E192" i="55" s="1"/>
  <c r="H85" i="81"/>
  <c r="J31" i="72" s="1"/>
  <c r="J56" i="72" s="1"/>
  <c r="I31" i="72"/>
  <c r="I56" i="72" s="1"/>
  <c r="H62" i="81"/>
  <c r="J31" i="55" s="1"/>
  <c r="J89" i="55" s="1"/>
  <c r="I31" i="55"/>
  <c r="I89" i="55" s="1"/>
  <c r="J150" i="53"/>
  <c r="J217" i="53"/>
  <c r="G250" i="53"/>
  <c r="G187" i="53"/>
  <c r="H67" i="81"/>
  <c r="J13" i="72" s="1"/>
  <c r="I13" i="72"/>
  <c r="G54" i="81"/>
  <c r="H23" i="55"/>
  <c r="H81" i="55" s="1"/>
  <c r="J141" i="55"/>
  <c r="J189" i="55" s="1"/>
  <c r="J234" i="55"/>
  <c r="H107" i="81"/>
  <c r="J24" i="53" s="1"/>
  <c r="J77" i="53" s="1"/>
  <c r="I24" i="53"/>
  <c r="I77" i="53" s="1"/>
  <c r="E37" i="29"/>
  <c r="E176" i="29"/>
  <c r="E144" i="29"/>
  <c r="E128" i="29"/>
  <c r="E160" i="29"/>
  <c r="F162" i="72"/>
  <c r="H207" i="53"/>
  <c r="H140" i="53"/>
  <c r="H23" i="72"/>
  <c r="H48" i="72" s="1"/>
  <c r="G77" i="81"/>
  <c r="M77" i="81"/>
  <c r="G228" i="55"/>
  <c r="G135" i="55"/>
  <c r="G183" i="55" s="1"/>
  <c r="G136" i="55"/>
  <c r="G184" i="55" s="1"/>
  <c r="G229" i="55"/>
  <c r="J134" i="53"/>
  <c r="J201" i="53"/>
  <c r="H101" i="81"/>
  <c r="J18" i="53" s="1"/>
  <c r="J71" i="53" s="1"/>
  <c r="J119" i="53" s="1"/>
  <c r="I18" i="53"/>
  <c r="I71" i="53" s="1"/>
  <c r="I118" i="53" s="1"/>
  <c r="H213" i="53"/>
  <c r="H146" i="53"/>
  <c r="H68" i="81"/>
  <c r="J14" i="72" s="1"/>
  <c r="I14" i="72"/>
  <c r="I39" i="72" s="1"/>
  <c r="H103" i="81"/>
  <c r="J20" i="53" s="1"/>
  <c r="J73" i="53" s="1"/>
  <c r="I20" i="53"/>
  <c r="I73" i="53" s="1"/>
  <c r="G57" i="81"/>
  <c r="H26" i="55"/>
  <c r="H84" i="55" s="1"/>
  <c r="G78" i="81"/>
  <c r="H24" i="72"/>
  <c r="I17" i="72"/>
  <c r="H71" i="81"/>
  <c r="J17" i="72" s="1"/>
  <c r="H119" i="53"/>
  <c r="H28" i="72"/>
  <c r="H53" i="72" s="1"/>
  <c r="G82" i="81"/>
  <c r="J149" i="53"/>
  <c r="J216" i="53"/>
  <c r="H74" i="81"/>
  <c r="J20" i="72" s="1"/>
  <c r="J45" i="72" s="1"/>
  <c r="I20" i="72"/>
  <c r="I45" i="72" s="1"/>
  <c r="G183" i="53"/>
  <c r="G246" i="53"/>
  <c r="H140" i="55"/>
  <c r="H188" i="55" s="1"/>
  <c r="H233" i="55"/>
  <c r="H143" i="53"/>
  <c r="H210" i="53"/>
  <c r="I202" i="53"/>
  <c r="I135" i="53"/>
  <c r="G32" i="72"/>
  <c r="H118" i="53"/>
  <c r="J137" i="53"/>
  <c r="J204" i="53"/>
  <c r="H254" i="53"/>
  <c r="T145" i="55"/>
  <c r="T146" i="55" s="1"/>
  <c r="H157" i="72"/>
  <c r="H80" i="72"/>
  <c r="H79" i="72"/>
  <c r="H143" i="72" s="1"/>
  <c r="G245" i="53"/>
  <c r="G182" i="53"/>
  <c r="H139" i="55"/>
  <c r="H187" i="55" s="1"/>
  <c r="H232" i="55"/>
  <c r="H49" i="81"/>
  <c r="J18" i="55" s="1"/>
  <c r="J76" i="55" s="1"/>
  <c r="J129" i="55" s="1"/>
  <c r="I18" i="55"/>
  <c r="I76" i="55" s="1"/>
  <c r="I129" i="55" s="1"/>
  <c r="H209" i="53"/>
  <c r="H142" i="53"/>
  <c r="I17" i="55"/>
  <c r="I75" i="55" s="1"/>
  <c r="I128" i="55" s="1"/>
  <c r="H48" i="81"/>
  <c r="J17" i="55" s="1"/>
  <c r="H102" i="81"/>
  <c r="J19" i="53" s="1"/>
  <c r="J72" i="53" s="1"/>
  <c r="I19" i="53"/>
  <c r="I72" i="53" s="1"/>
  <c r="J135" i="53"/>
  <c r="J202" i="53"/>
  <c r="G99" i="72"/>
  <c r="G145" i="72" s="1"/>
  <c r="G96" i="72"/>
  <c r="G141" i="72" s="1"/>
  <c r="G97" i="72"/>
  <c r="G155" i="72"/>
  <c r="G55" i="81"/>
  <c r="H24" i="55"/>
  <c r="H82" i="55" s="1"/>
  <c r="G56" i="81"/>
  <c r="H25" i="55"/>
  <c r="H83" i="55" s="1"/>
  <c r="I134" i="53"/>
  <c r="I201" i="53"/>
  <c r="G254" i="53"/>
  <c r="J131" i="53"/>
  <c r="J198" i="53"/>
  <c r="G53" i="81"/>
  <c r="H22" i="55"/>
  <c r="H80" i="55" s="1"/>
  <c r="H133" i="55" s="1"/>
  <c r="W694" i="95"/>
  <c r="Y694" i="95" s="1"/>
  <c r="G251" i="53"/>
  <c r="G188" i="53"/>
  <c r="H108" i="81"/>
  <c r="J25" i="53" s="1"/>
  <c r="J78" i="53" s="1"/>
  <c r="I25" i="53"/>
  <c r="I78" i="53" s="1"/>
  <c r="F17" i="61"/>
  <c r="H65" i="72"/>
  <c r="H156" i="72"/>
  <c r="H64" i="72"/>
  <c r="H142" i="72" s="1"/>
  <c r="H211" i="53"/>
  <c r="H144" i="53"/>
  <c r="I137" i="53"/>
  <c r="I204" i="53"/>
  <c r="H75" i="81"/>
  <c r="J21" i="72" s="1"/>
  <c r="J46" i="72" s="1"/>
  <c r="I21" i="72"/>
  <c r="I46" i="72" s="1"/>
  <c r="H74" i="72"/>
  <c r="H75" i="72"/>
  <c r="H42" i="72"/>
  <c r="I15" i="55"/>
  <c r="I73" i="55" s="1"/>
  <c r="I126" i="55" s="1"/>
  <c r="H46" i="81"/>
  <c r="J15" i="55" s="1"/>
  <c r="I149" i="53"/>
  <c r="I216" i="53"/>
  <c r="G253" i="53"/>
  <c r="D156" i="29"/>
  <c r="D172" i="29"/>
  <c r="D140" i="29"/>
  <c r="D124" i="29"/>
  <c r="D33" i="29"/>
  <c r="J71" i="72"/>
  <c r="J158" i="72"/>
  <c r="J72" i="72"/>
  <c r="I158" i="72"/>
  <c r="I72" i="72"/>
  <c r="I71" i="72"/>
  <c r="H144" i="72"/>
  <c r="J165" i="29"/>
  <c r="J181" i="29"/>
  <c r="J149" i="29"/>
  <c r="I26" i="68"/>
  <c r="J133" i="29"/>
  <c r="Q56" i="119"/>
  <c r="Q57" i="119" s="1"/>
  <c r="Q58" i="119"/>
  <c r="R55" i="119" s="1"/>
  <c r="S47" i="118"/>
  <c r="S48" i="118" s="1"/>
  <c r="Q52" i="119"/>
  <c r="R49" i="119" s="1"/>
  <c r="R53" i="118"/>
  <c r="R54" i="118" s="1"/>
  <c r="R61" i="118"/>
  <c r="S58" i="118" s="1"/>
  <c r="Q64" i="119"/>
  <c r="R61" i="119" s="1"/>
  <c r="O65" i="118"/>
  <c r="P43" i="119"/>
  <c r="O68" i="119"/>
  <c r="G42" i="118"/>
  <c r="F64" i="118"/>
  <c r="G45" i="119"/>
  <c r="F67" i="119"/>
  <c r="O64" i="118"/>
  <c r="O66" i="119"/>
  <c r="C99" i="119" s="1"/>
  <c r="O45" i="119"/>
  <c r="F40" i="118"/>
  <c r="E65" i="118"/>
  <c r="P41" i="118"/>
  <c r="P63" i="118" s="1"/>
  <c r="D94" i="118" s="1"/>
  <c r="P62" i="118"/>
  <c r="P39" i="119"/>
  <c r="F40" i="119"/>
  <c r="F65" i="119"/>
  <c r="P40" i="119"/>
  <c r="I39" i="119"/>
  <c r="Q34" i="118"/>
  <c r="G37" i="118"/>
  <c r="F123" i="55" l="1"/>
  <c r="F226" i="55"/>
  <c r="E265" i="55"/>
  <c r="E266" i="55"/>
  <c r="F176" i="29"/>
  <c r="S145" i="55"/>
  <c r="S146" i="55" s="1"/>
  <c r="S147" i="55" s="1"/>
  <c r="D266" i="55"/>
  <c r="E180" i="55"/>
  <c r="E221" i="55" s="1"/>
  <c r="C10" i="21" s="1"/>
  <c r="D180" i="55"/>
  <c r="D221" i="55" s="1"/>
  <c r="B10" i="21" s="1"/>
  <c r="D265" i="55"/>
  <c r="O1865" i="95" s="1"/>
  <c r="G191" i="53"/>
  <c r="H253" i="53"/>
  <c r="H15" i="61"/>
  <c r="G260" i="53" s="1"/>
  <c r="G262" i="53" s="1"/>
  <c r="F144" i="29"/>
  <c r="F37" i="29"/>
  <c r="F160" i="29"/>
  <c r="I6" i="61"/>
  <c r="H259" i="53" s="1"/>
  <c r="D9" i="21"/>
  <c r="F156" i="29" s="1"/>
  <c r="G37" i="61"/>
  <c r="I187" i="53"/>
  <c r="I250" i="53"/>
  <c r="G47" i="61"/>
  <c r="D25" i="21"/>
  <c r="F274" i="53"/>
  <c r="F276" i="53" s="1"/>
  <c r="E13" i="21"/>
  <c r="H34" i="61"/>
  <c r="J251" i="53"/>
  <c r="H53" i="81"/>
  <c r="J22" i="55" s="1"/>
  <c r="I22" i="55"/>
  <c r="I80" i="55" s="1"/>
  <c r="I133" i="55" s="1"/>
  <c r="I207" i="53"/>
  <c r="I140" i="53"/>
  <c r="H101" i="72"/>
  <c r="H49" i="72"/>
  <c r="H96" i="72"/>
  <c r="H141" i="72" s="1"/>
  <c r="H97" i="72"/>
  <c r="H99" i="72"/>
  <c r="H155" i="72"/>
  <c r="J235" i="55"/>
  <c r="J142" i="55"/>
  <c r="E263" i="55"/>
  <c r="E264" i="55"/>
  <c r="J209" i="53"/>
  <c r="J142" i="53"/>
  <c r="I25" i="72"/>
  <c r="H79" i="81"/>
  <c r="J25" i="72" s="1"/>
  <c r="I143" i="53"/>
  <c r="I210" i="53"/>
  <c r="I80" i="72"/>
  <c r="I79" i="72"/>
  <c r="I143" i="72" s="1"/>
  <c r="I157" i="72"/>
  <c r="G8" i="61"/>
  <c r="F169" i="72" s="1"/>
  <c r="E170" i="72"/>
  <c r="E172" i="72" s="1"/>
  <c r="H55" i="81"/>
  <c r="J24" i="55" s="1"/>
  <c r="J82" i="55" s="1"/>
  <c r="I24" i="55"/>
  <c r="I82" i="55" s="1"/>
  <c r="J140" i="53"/>
  <c r="J207" i="53"/>
  <c r="J114" i="53"/>
  <c r="H188" i="53"/>
  <c r="H251" i="53"/>
  <c r="I24" i="72"/>
  <c r="H78" i="81"/>
  <c r="J24" i="72" s="1"/>
  <c r="J141" i="53"/>
  <c r="J208" i="53"/>
  <c r="I38" i="72"/>
  <c r="I232" i="55"/>
  <c r="I139" i="55"/>
  <c r="I187" i="55" s="1"/>
  <c r="J210" i="53"/>
  <c r="J143" i="53"/>
  <c r="D263" i="55"/>
  <c r="D264" i="55"/>
  <c r="I233" i="55"/>
  <c r="I140" i="55"/>
  <c r="I188" i="55" s="1"/>
  <c r="H32" i="72"/>
  <c r="F37" i="72"/>
  <c r="J157" i="72"/>
  <c r="J79" i="72"/>
  <c r="J80" i="72"/>
  <c r="H228" i="55"/>
  <c r="H135" i="55"/>
  <c r="H183" i="55" s="1"/>
  <c r="G159" i="72"/>
  <c r="G36" i="72"/>
  <c r="G147" i="72" s="1"/>
  <c r="G151" i="72" s="1"/>
  <c r="G12" i="72"/>
  <c r="G37" i="72"/>
  <c r="J212" i="53"/>
  <c r="J145" i="53"/>
  <c r="H54" i="81"/>
  <c r="J23" i="55" s="1"/>
  <c r="I23" i="55"/>
  <c r="I81" i="55" s="1"/>
  <c r="J116" i="53"/>
  <c r="J139" i="55"/>
  <c r="J187" i="55" s="1"/>
  <c r="J232" i="55"/>
  <c r="U145" i="55"/>
  <c r="U146" i="55" s="1"/>
  <c r="I82" i="72"/>
  <c r="I83" i="72"/>
  <c r="I44" i="72"/>
  <c r="J118" i="53"/>
  <c r="D180" i="72"/>
  <c r="D182" i="72" s="1"/>
  <c r="E50" i="61"/>
  <c r="B21" i="21"/>
  <c r="J21" i="21" s="1"/>
  <c r="I213" i="53"/>
  <c r="I146" i="53"/>
  <c r="H136" i="55"/>
  <c r="H184" i="55" s="1"/>
  <c r="H229" i="55"/>
  <c r="J75" i="55"/>
  <c r="J128" i="55" s="1"/>
  <c r="E10" i="103"/>
  <c r="I115" i="53"/>
  <c r="I85" i="72"/>
  <c r="I86" i="72"/>
  <c r="I28" i="72"/>
  <c r="I53" i="72" s="1"/>
  <c r="H82" i="81"/>
  <c r="J28" i="72" s="1"/>
  <c r="J53" i="72" s="1"/>
  <c r="J74" i="72"/>
  <c r="J75" i="72"/>
  <c r="J42" i="72"/>
  <c r="H137" i="55"/>
  <c r="H185" i="55" s="1"/>
  <c r="H230" i="55"/>
  <c r="I64" i="72"/>
  <c r="I142" i="72" s="1"/>
  <c r="I156" i="72"/>
  <c r="I65" i="72"/>
  <c r="I139" i="53"/>
  <c r="I206" i="53"/>
  <c r="I114" i="53"/>
  <c r="J38" i="72"/>
  <c r="H145" i="72"/>
  <c r="I119" i="53"/>
  <c r="I29" i="72"/>
  <c r="I54" i="72" s="1"/>
  <c r="H83" i="81"/>
  <c r="J29" i="72" s="1"/>
  <c r="J54" i="72" s="1"/>
  <c r="H231" i="55"/>
  <c r="H138" i="55"/>
  <c r="H186" i="55" s="1"/>
  <c r="J140" i="55"/>
  <c r="J233" i="55"/>
  <c r="F160" i="72"/>
  <c r="F161" i="72"/>
  <c r="I22" i="72"/>
  <c r="I47" i="72" s="1"/>
  <c r="H76" i="81"/>
  <c r="J22" i="72" s="1"/>
  <c r="I211" i="53"/>
  <c r="I144" i="53"/>
  <c r="E172" i="29"/>
  <c r="E33" i="29"/>
  <c r="E140" i="29"/>
  <c r="E124" i="29"/>
  <c r="E156" i="29"/>
  <c r="I141" i="53"/>
  <c r="I208" i="53"/>
  <c r="H184" i="53"/>
  <c r="H247" i="53"/>
  <c r="L15" i="55"/>
  <c r="J73" i="55"/>
  <c r="J126" i="55" s="1"/>
  <c r="E8" i="103"/>
  <c r="J213" i="53"/>
  <c r="J146" i="53"/>
  <c r="H56" i="81"/>
  <c r="J25" i="55" s="1"/>
  <c r="J83" i="55" s="1"/>
  <c r="I25" i="55"/>
  <c r="I83" i="55" s="1"/>
  <c r="G70" i="55"/>
  <c r="G33" i="55"/>
  <c r="I116" i="53"/>
  <c r="H187" i="53"/>
  <c r="H191" i="53" s="1"/>
  <c r="H250" i="53"/>
  <c r="J85" i="72"/>
  <c r="J86" i="72"/>
  <c r="I74" i="72"/>
  <c r="I75" i="72"/>
  <c r="I42" i="72"/>
  <c r="H57" i="81"/>
  <c r="J26" i="55" s="1"/>
  <c r="J84" i="55" s="1"/>
  <c r="I26" i="55"/>
  <c r="I84" i="55" s="1"/>
  <c r="C6" i="102"/>
  <c r="J6" i="102" s="1"/>
  <c r="J39" i="72"/>
  <c r="J206" i="53"/>
  <c r="J139" i="53"/>
  <c r="H77" i="81"/>
  <c r="J23" i="72" s="1"/>
  <c r="I23" i="72"/>
  <c r="I48" i="72" s="1"/>
  <c r="I145" i="53"/>
  <c r="I212" i="53"/>
  <c r="H227" i="55"/>
  <c r="H134" i="55"/>
  <c r="I235" i="55"/>
  <c r="I142" i="55"/>
  <c r="I190" i="55" s="1"/>
  <c r="J115" i="53"/>
  <c r="I209" i="53"/>
  <c r="I142" i="53"/>
  <c r="G164" i="72"/>
  <c r="F66" i="55"/>
  <c r="F192" i="55" s="1"/>
  <c r="F10" i="55"/>
  <c r="H103" i="72"/>
  <c r="H104" i="72"/>
  <c r="H50" i="72"/>
  <c r="H52" i="81"/>
  <c r="J21" i="55" s="1"/>
  <c r="I21" i="55"/>
  <c r="I79" i="55" s="1"/>
  <c r="I132" i="55" s="1"/>
  <c r="H58" i="81"/>
  <c r="J27" i="55" s="1"/>
  <c r="J85" i="55" s="1"/>
  <c r="I27" i="55"/>
  <c r="I85" i="55" s="1"/>
  <c r="H81" i="81"/>
  <c r="J27" i="72" s="1"/>
  <c r="J52" i="72" s="1"/>
  <c r="I27" i="72"/>
  <c r="I52" i="72" s="1"/>
  <c r="G182" i="55"/>
  <c r="G181" i="55"/>
  <c r="J82" i="72"/>
  <c r="J83" i="72"/>
  <c r="C12" i="102"/>
  <c r="J44" i="72"/>
  <c r="H94" i="72"/>
  <c r="H93" i="72"/>
  <c r="H162" i="72" s="1"/>
  <c r="J211" i="53"/>
  <c r="J144" i="53"/>
  <c r="H80" i="81"/>
  <c r="J26" i="72" s="1"/>
  <c r="J51" i="72" s="1"/>
  <c r="I26" i="72"/>
  <c r="I51" i="72" s="1"/>
  <c r="G162" i="72"/>
  <c r="J144" i="72"/>
  <c r="F33" i="29"/>
  <c r="I144" i="72"/>
  <c r="R55" i="118"/>
  <c r="S52" i="118" s="1"/>
  <c r="R62" i="119"/>
  <c r="R63" i="119" s="1"/>
  <c r="R56" i="119"/>
  <c r="R58" i="119"/>
  <c r="S55" i="119" s="1"/>
  <c r="S59" i="118"/>
  <c r="S60" i="118" s="1"/>
  <c r="R50" i="119"/>
  <c r="R51" i="119" s="1"/>
  <c r="R52" i="119"/>
  <c r="S49" i="119" s="1"/>
  <c r="R57" i="119"/>
  <c r="S49" i="118"/>
  <c r="T46" i="118" s="1"/>
  <c r="P42" i="118"/>
  <c r="F46" i="29"/>
  <c r="P43" i="118"/>
  <c r="F43" i="118"/>
  <c r="F62" i="118"/>
  <c r="E14" i="69" s="1"/>
  <c r="E16" i="69" s="1"/>
  <c r="O67" i="119"/>
  <c r="H45" i="119"/>
  <c r="G67" i="119"/>
  <c r="H42" i="118"/>
  <c r="G64" i="118"/>
  <c r="P64" i="118"/>
  <c r="P44" i="119"/>
  <c r="P66" i="119" s="1"/>
  <c r="D99" i="119" s="1"/>
  <c r="P65" i="119"/>
  <c r="Q37" i="119"/>
  <c r="G37" i="119"/>
  <c r="F68" i="119"/>
  <c r="H34" i="118"/>
  <c r="Q37" i="118"/>
  <c r="Q35" i="118"/>
  <c r="E125" i="29" l="1"/>
  <c r="E34" i="29"/>
  <c r="E173" i="29"/>
  <c r="E157" i="29"/>
  <c r="E141" i="29"/>
  <c r="D125" i="29"/>
  <c r="D34" i="29"/>
  <c r="D173" i="29"/>
  <c r="D157" i="29"/>
  <c r="D141" i="29"/>
  <c r="F16" i="61"/>
  <c r="E271" i="55" s="1"/>
  <c r="F265" i="55"/>
  <c r="F266" i="55"/>
  <c r="F180" i="55"/>
  <c r="F221" i="55" s="1"/>
  <c r="G123" i="55"/>
  <c r="G226" i="55"/>
  <c r="C17" i="21"/>
  <c r="D6" i="68" s="1"/>
  <c r="F36" i="61"/>
  <c r="F41" i="61" s="1"/>
  <c r="C10" i="69" s="1"/>
  <c r="D32" i="29"/>
  <c r="D40" i="29" s="1"/>
  <c r="E36" i="61"/>
  <c r="E41" i="61" s="1"/>
  <c r="B10" i="69" s="1"/>
  <c r="C32" i="68" s="1"/>
  <c r="S154" i="55"/>
  <c r="T147" i="55"/>
  <c r="F124" i="29"/>
  <c r="F172" i="29"/>
  <c r="F140" i="29"/>
  <c r="J188" i="55"/>
  <c r="E16" i="61"/>
  <c r="F7" i="61" s="1"/>
  <c r="I15" i="61"/>
  <c r="G17" i="61"/>
  <c r="F170" i="72" s="1"/>
  <c r="F172" i="72" s="1"/>
  <c r="I253" i="53"/>
  <c r="I34" i="61"/>
  <c r="F13" i="21"/>
  <c r="J6" i="61"/>
  <c r="I259" i="53" s="1"/>
  <c r="H260" i="53"/>
  <c r="H262" i="53" s="1"/>
  <c r="J231" i="55"/>
  <c r="J138" i="55"/>
  <c r="J156" i="72"/>
  <c r="J65" i="72"/>
  <c r="J64" i="72"/>
  <c r="J184" i="53"/>
  <c r="J247" i="53"/>
  <c r="H12" i="72"/>
  <c r="H36" i="72"/>
  <c r="H147" i="72" s="1"/>
  <c r="H151" i="72" s="1"/>
  <c r="H159" i="72"/>
  <c r="H37" i="72"/>
  <c r="I228" i="55"/>
  <c r="I135" i="55"/>
  <c r="I183" i="55" s="1"/>
  <c r="E25" i="21"/>
  <c r="G274" i="53"/>
  <c r="G276" i="53" s="1"/>
  <c r="H47" i="61"/>
  <c r="J79" i="55"/>
  <c r="J132" i="55" s="1"/>
  <c r="E14" i="103"/>
  <c r="F263" i="55"/>
  <c r="F264" i="55"/>
  <c r="Z8" i="103"/>
  <c r="K8" i="103"/>
  <c r="I231" i="55"/>
  <c r="I138" i="55"/>
  <c r="I186" i="55" s="1"/>
  <c r="J183" i="53"/>
  <c r="J246" i="53"/>
  <c r="J230" i="55"/>
  <c r="J137" i="55"/>
  <c r="I184" i="53"/>
  <c r="I247" i="53"/>
  <c r="J229" i="55"/>
  <c r="J136" i="55"/>
  <c r="I251" i="53"/>
  <c r="I188" i="53"/>
  <c r="I182" i="53"/>
  <c r="I245" i="53"/>
  <c r="K10" i="103"/>
  <c r="Z10" i="103"/>
  <c r="I254" i="53"/>
  <c r="D171" i="29"/>
  <c r="D123" i="29"/>
  <c r="D131" i="29" s="1"/>
  <c r="D139" i="29"/>
  <c r="D147" i="29" s="1"/>
  <c r="D155" i="29"/>
  <c r="D163" i="29" s="1"/>
  <c r="B17" i="21"/>
  <c r="J190" i="55"/>
  <c r="H70" i="55"/>
  <c r="H33" i="55"/>
  <c r="J188" i="53"/>
  <c r="I96" i="72"/>
  <c r="I141" i="72" s="1"/>
  <c r="I97" i="72"/>
  <c r="I99" i="72"/>
  <c r="I145" i="72" s="1"/>
  <c r="I155" i="72"/>
  <c r="E139" i="29"/>
  <c r="E147" i="29" s="1"/>
  <c r="C5" i="102"/>
  <c r="J48" i="72"/>
  <c r="V145" i="55"/>
  <c r="V146" i="55" s="1"/>
  <c r="C13" i="102"/>
  <c r="J47" i="72"/>
  <c r="J32" i="72"/>
  <c r="I134" i="55"/>
  <c r="I227" i="55"/>
  <c r="J143" i="72"/>
  <c r="I32" i="72"/>
  <c r="J101" i="72"/>
  <c r="J49" i="72"/>
  <c r="J245" i="53"/>
  <c r="J254" i="53"/>
  <c r="J182" i="53"/>
  <c r="J191" i="53" s="1"/>
  <c r="J228" i="55"/>
  <c r="J135" i="55"/>
  <c r="J183" i="55" s="1"/>
  <c r="J103" i="72"/>
  <c r="J104" i="72"/>
  <c r="J50" i="72"/>
  <c r="H164" i="72"/>
  <c r="H182" i="55"/>
  <c r="H181" i="55"/>
  <c r="G10" i="55"/>
  <c r="G66" i="55"/>
  <c r="G192" i="55" s="1"/>
  <c r="H37" i="61"/>
  <c r="E9" i="21"/>
  <c r="I230" i="55"/>
  <c r="I137" i="55"/>
  <c r="I185" i="55" s="1"/>
  <c r="I136" i="55"/>
  <c r="I184" i="55" s="1"/>
  <c r="I229" i="55"/>
  <c r="I93" i="72"/>
  <c r="I94" i="72"/>
  <c r="I183" i="53"/>
  <c r="I246" i="53"/>
  <c r="J250" i="53"/>
  <c r="J187" i="53"/>
  <c r="J81" i="55"/>
  <c r="E16" i="103"/>
  <c r="G161" i="72"/>
  <c r="G160" i="72"/>
  <c r="H17" i="61" s="1"/>
  <c r="I101" i="72"/>
  <c r="I49" i="72"/>
  <c r="E180" i="72"/>
  <c r="E182" i="72" s="1"/>
  <c r="F50" i="61"/>
  <c r="C21" i="21"/>
  <c r="J253" i="53"/>
  <c r="I103" i="72"/>
  <c r="I104" i="72"/>
  <c r="I50" i="72"/>
  <c r="J80" i="55"/>
  <c r="J133" i="55" s="1"/>
  <c r="E15" i="103"/>
  <c r="G128" i="29"/>
  <c r="G144" i="29"/>
  <c r="G160" i="29"/>
  <c r="G176" i="29"/>
  <c r="G37" i="29"/>
  <c r="H274" i="53"/>
  <c r="H276" i="53" s="1"/>
  <c r="F25" i="21"/>
  <c r="I47" i="61"/>
  <c r="S50" i="119"/>
  <c r="S52" i="119"/>
  <c r="T49" i="119" s="1"/>
  <c r="S56" i="119"/>
  <c r="S58" i="119"/>
  <c r="T55" i="119" s="1"/>
  <c r="S51" i="119"/>
  <c r="S53" i="118"/>
  <c r="S54" i="118" s="1"/>
  <c r="S57" i="119"/>
  <c r="T47" i="118"/>
  <c r="T48" i="118" s="1"/>
  <c r="S61" i="118"/>
  <c r="T58" i="118" s="1"/>
  <c r="R64" i="119"/>
  <c r="S61" i="119" s="1"/>
  <c r="Q40" i="118"/>
  <c r="P65" i="118"/>
  <c r="I42" i="118"/>
  <c r="I64" i="118" s="1"/>
  <c r="H64" i="118"/>
  <c r="P46" i="119"/>
  <c r="P45" i="119"/>
  <c r="I45" i="119"/>
  <c r="I67" i="119" s="1"/>
  <c r="H67" i="119"/>
  <c r="G40" i="118"/>
  <c r="F65" i="118"/>
  <c r="G65" i="119"/>
  <c r="G40" i="119"/>
  <c r="Q38" i="119"/>
  <c r="Q40" i="119" s="1"/>
  <c r="R34" i="118"/>
  <c r="Q36" i="118"/>
  <c r="H37" i="118"/>
  <c r="H8" i="61" l="1"/>
  <c r="G169" i="72" s="1"/>
  <c r="D179" i="29"/>
  <c r="E32" i="29"/>
  <c r="E40" i="29" s="1"/>
  <c r="E171" i="29"/>
  <c r="E179" i="29" s="1"/>
  <c r="F21" i="61"/>
  <c r="F42" i="61" s="1"/>
  <c r="C9" i="69" s="1"/>
  <c r="G7" i="61"/>
  <c r="G12" i="61" s="1"/>
  <c r="E155" i="29"/>
  <c r="E163" i="29" s="1"/>
  <c r="E123" i="29"/>
  <c r="E131" i="29" s="1"/>
  <c r="D10" i="21"/>
  <c r="F155" i="29"/>
  <c r="G36" i="61"/>
  <c r="G41" i="61" s="1"/>
  <c r="D10" i="69" s="1"/>
  <c r="E32" i="68" s="1"/>
  <c r="H123" i="55"/>
  <c r="H226" i="55"/>
  <c r="G266" i="55"/>
  <c r="G180" i="55"/>
  <c r="G221" i="55" s="1"/>
  <c r="G265" i="55"/>
  <c r="U147" i="55"/>
  <c r="T154" i="55"/>
  <c r="E21" i="61"/>
  <c r="E42" i="61" s="1"/>
  <c r="B9" i="69" s="1"/>
  <c r="C33" i="68" s="1"/>
  <c r="J185" i="55"/>
  <c r="D271" i="55"/>
  <c r="D273" i="55" s="1"/>
  <c r="K15" i="61"/>
  <c r="J260" i="53" s="1"/>
  <c r="D32" i="68"/>
  <c r="F9" i="21"/>
  <c r="I37" i="61"/>
  <c r="I8" i="61"/>
  <c r="H169" i="72" s="1"/>
  <c r="G170" i="72"/>
  <c r="I12" i="72"/>
  <c r="I36" i="72"/>
  <c r="I147" i="72" s="1"/>
  <c r="I151" i="72" s="1"/>
  <c r="I159" i="72"/>
  <c r="E270" i="55"/>
  <c r="E273" i="55" s="1"/>
  <c r="C22" i="21" s="1"/>
  <c r="F12" i="61"/>
  <c r="F139" i="29"/>
  <c r="J15" i="61"/>
  <c r="J184" i="55"/>
  <c r="K34" i="61"/>
  <c r="H13" i="21"/>
  <c r="J227" i="55"/>
  <c r="J134" i="55"/>
  <c r="I164" i="72"/>
  <c r="G263" i="55"/>
  <c r="G264" i="55"/>
  <c r="I70" i="55"/>
  <c r="I33" i="55"/>
  <c r="H66" i="55"/>
  <c r="H192" i="55" s="1"/>
  <c r="H10" i="55"/>
  <c r="G16" i="61"/>
  <c r="J186" i="55"/>
  <c r="H160" i="29"/>
  <c r="H144" i="29"/>
  <c r="H176" i="29"/>
  <c r="H37" i="29"/>
  <c r="H128" i="29"/>
  <c r="G33" i="29"/>
  <c r="G140" i="29"/>
  <c r="G124" i="29"/>
  <c r="G156" i="29"/>
  <c r="G172" i="29"/>
  <c r="J12" i="72"/>
  <c r="J36" i="72"/>
  <c r="J147" i="72" s="1"/>
  <c r="J159" i="72"/>
  <c r="J8" i="102"/>
  <c r="J5" i="102"/>
  <c r="C17" i="102"/>
  <c r="K15" i="103"/>
  <c r="Z15" i="103"/>
  <c r="Z16" i="103"/>
  <c r="K16" i="103"/>
  <c r="J94" i="72"/>
  <c r="J164" i="72" s="1"/>
  <c r="J93" i="72"/>
  <c r="C6" i="68"/>
  <c r="F270" i="55"/>
  <c r="I182" i="55"/>
  <c r="I181" i="55"/>
  <c r="J97" i="72"/>
  <c r="J99" i="72"/>
  <c r="J145" i="72" s="1"/>
  <c r="J96" i="72"/>
  <c r="J141" i="72" s="1"/>
  <c r="J155" i="72"/>
  <c r="I162" i="72"/>
  <c r="I191" i="53"/>
  <c r="Z14" i="103"/>
  <c r="K14" i="103"/>
  <c r="H160" i="72"/>
  <c r="H161" i="72"/>
  <c r="J142" i="72"/>
  <c r="F180" i="72"/>
  <c r="F182" i="72" s="1"/>
  <c r="G50" i="61"/>
  <c r="D21" i="21"/>
  <c r="T56" i="119"/>
  <c r="T57" i="119" s="1"/>
  <c r="T58" i="119"/>
  <c r="T61" i="118"/>
  <c r="T59" i="118"/>
  <c r="T60" i="118" s="1"/>
  <c r="S55" i="118"/>
  <c r="T52" i="118" s="1"/>
  <c r="T50" i="119"/>
  <c r="T51" i="119" s="1"/>
  <c r="T52" i="119"/>
  <c r="S62" i="119"/>
  <c r="S63" i="119" s="1"/>
  <c r="T49" i="118"/>
  <c r="Q62" i="118"/>
  <c r="Q41" i="118"/>
  <c r="P67" i="119"/>
  <c r="G43" i="118"/>
  <c r="G62" i="118"/>
  <c r="F14" i="69" s="1"/>
  <c r="F16" i="69" s="1"/>
  <c r="Q43" i="119"/>
  <c r="P68" i="119"/>
  <c r="R37" i="119"/>
  <c r="Q39" i="119"/>
  <c r="H37" i="119"/>
  <c r="G68" i="119"/>
  <c r="I34" i="118"/>
  <c r="R35" i="118"/>
  <c r="G172" i="72" l="1"/>
  <c r="G180" i="72" s="1"/>
  <c r="G182" i="72" s="1"/>
  <c r="J162" i="72"/>
  <c r="F44" i="61"/>
  <c r="E49" i="61"/>
  <c r="E54" i="61" s="1"/>
  <c r="B26" i="69" s="1"/>
  <c r="C12" i="68" s="1"/>
  <c r="B22" i="21"/>
  <c r="B29" i="21" s="1"/>
  <c r="F173" i="29"/>
  <c r="F157" i="29"/>
  <c r="F163" i="29" s="1"/>
  <c r="F141" i="29"/>
  <c r="F147" i="29" s="1"/>
  <c r="F125" i="29"/>
  <c r="F34" i="29"/>
  <c r="E10" i="21"/>
  <c r="H36" i="61"/>
  <c r="H41" i="61" s="1"/>
  <c r="E10" i="69" s="1"/>
  <c r="F32" i="68" s="1"/>
  <c r="G123" i="29"/>
  <c r="I123" i="55"/>
  <c r="X145" i="55" s="1"/>
  <c r="X146" i="55" s="1"/>
  <c r="I226" i="55"/>
  <c r="F171" i="29"/>
  <c r="F123" i="29"/>
  <c r="F131" i="29" s="1"/>
  <c r="F32" i="29"/>
  <c r="F40" i="29" s="1"/>
  <c r="D17" i="21"/>
  <c r="E6" i="68" s="1"/>
  <c r="H265" i="55"/>
  <c r="H266" i="55"/>
  <c r="H180" i="55"/>
  <c r="H221" i="55" s="1"/>
  <c r="F10" i="21" s="1"/>
  <c r="W145" i="55"/>
  <c r="W146" i="55" s="1"/>
  <c r="U154" i="55"/>
  <c r="V147" i="55"/>
  <c r="D283" i="55"/>
  <c r="D286" i="55" s="1"/>
  <c r="D33" i="68"/>
  <c r="E44" i="61"/>
  <c r="I17" i="61"/>
  <c r="J8" i="61" s="1"/>
  <c r="I169" i="72" s="1"/>
  <c r="J37" i="61"/>
  <c r="G9" i="21"/>
  <c r="B10" i="72"/>
  <c r="J161" i="72"/>
  <c r="J160" i="72"/>
  <c r="K17" i="61" s="1"/>
  <c r="J170" i="72" s="1"/>
  <c r="H16" i="61"/>
  <c r="J151" i="72"/>
  <c r="H263" i="55"/>
  <c r="H264" i="55"/>
  <c r="H50" i="61"/>
  <c r="E21" i="21"/>
  <c r="J70" i="55"/>
  <c r="E5" i="103"/>
  <c r="J33" i="55"/>
  <c r="J37" i="72"/>
  <c r="I10" i="55"/>
  <c r="I66" i="55"/>
  <c r="I192" i="55" s="1"/>
  <c r="G171" i="29"/>
  <c r="G139" i="29"/>
  <c r="G155" i="29"/>
  <c r="F49" i="61"/>
  <c r="F54" i="61" s="1"/>
  <c r="C29" i="21"/>
  <c r="E283" i="55"/>
  <c r="E286" i="55" s="1"/>
  <c r="I160" i="72"/>
  <c r="J17" i="61" s="1"/>
  <c r="I161" i="72"/>
  <c r="G13" i="21"/>
  <c r="J34" i="61"/>
  <c r="H7" i="61"/>
  <c r="F271" i="55"/>
  <c r="F273" i="55" s="1"/>
  <c r="D22" i="21" s="1"/>
  <c r="G21" i="61"/>
  <c r="G42" i="61" s="1"/>
  <c r="J182" i="55"/>
  <c r="J181" i="55"/>
  <c r="J160" i="29"/>
  <c r="J37" i="29"/>
  <c r="J128" i="29"/>
  <c r="J176" i="29"/>
  <c r="J144" i="29"/>
  <c r="I260" i="53"/>
  <c r="I262" i="53" s="1"/>
  <c r="K6" i="61"/>
  <c r="J259" i="53" s="1"/>
  <c r="J262" i="53" s="1"/>
  <c r="I37" i="72"/>
  <c r="H172" i="29"/>
  <c r="H33" i="29"/>
  <c r="H156" i="29"/>
  <c r="H140" i="29"/>
  <c r="H124" i="29"/>
  <c r="T53" i="118"/>
  <c r="T54" i="118" s="1"/>
  <c r="S64" i="119"/>
  <c r="T61" i="119" s="1"/>
  <c r="Q42" i="118"/>
  <c r="Q64" i="118" s="1"/>
  <c r="Q63" i="118"/>
  <c r="Q43" i="118"/>
  <c r="Q44" i="119"/>
  <c r="Q65" i="119"/>
  <c r="H40" i="118"/>
  <c r="G65" i="118"/>
  <c r="R36" i="118"/>
  <c r="R37" i="118"/>
  <c r="H40" i="119"/>
  <c r="H65" i="119"/>
  <c r="R38" i="119"/>
  <c r="I37" i="118"/>
  <c r="H170" i="72" l="1"/>
  <c r="H172" i="72" s="1"/>
  <c r="F21" i="21" s="1"/>
  <c r="F179" i="29"/>
  <c r="E55" i="61"/>
  <c r="E56" i="61" s="1"/>
  <c r="D11" i="94" s="1"/>
  <c r="G173" i="29"/>
  <c r="G179" i="29" s="1"/>
  <c r="G141" i="29"/>
  <c r="G147" i="29" s="1"/>
  <c r="G125" i="29"/>
  <c r="G131" i="29" s="1"/>
  <c r="G34" i="29"/>
  <c r="G157" i="29"/>
  <c r="G163" i="29" s="1"/>
  <c r="H125" i="29"/>
  <c r="H34" i="29"/>
  <c r="H173" i="29"/>
  <c r="H157" i="29"/>
  <c r="H141" i="29"/>
  <c r="G32" i="29"/>
  <c r="G40" i="29" s="1"/>
  <c r="F17" i="21"/>
  <c r="G6" i="68" s="1"/>
  <c r="J123" i="55"/>
  <c r="Y145" i="55" s="1"/>
  <c r="J226" i="55"/>
  <c r="I266" i="55"/>
  <c r="I180" i="55"/>
  <c r="I221" i="55" s="1"/>
  <c r="I265" i="55"/>
  <c r="I36" i="61"/>
  <c r="I41" i="61" s="1"/>
  <c r="F10" i="69" s="1"/>
  <c r="G32" i="68" s="1"/>
  <c r="E17" i="21"/>
  <c r="F6" i="68" s="1"/>
  <c r="J20" i="21"/>
  <c r="W147" i="55"/>
  <c r="V154" i="55"/>
  <c r="G49" i="61"/>
  <c r="G54" i="61" s="1"/>
  <c r="D26" i="69" s="1"/>
  <c r="F283" i="55"/>
  <c r="F286" i="55" s="1"/>
  <c r="D29" i="21"/>
  <c r="K8" i="61"/>
  <c r="J169" i="72" s="1"/>
  <c r="J172" i="72" s="1"/>
  <c r="I170" i="72"/>
  <c r="I172" i="72" s="1"/>
  <c r="C26" i="69"/>
  <c r="D12" i="68" s="1"/>
  <c r="F55" i="61"/>
  <c r="C25" i="69" s="1"/>
  <c r="I264" i="55"/>
  <c r="I263" i="55"/>
  <c r="I16" i="61"/>
  <c r="I50" i="61"/>
  <c r="H180" i="72"/>
  <c r="H182" i="72" s="1"/>
  <c r="G270" i="55"/>
  <c r="H12" i="61"/>
  <c r="I37" i="29"/>
  <c r="I176" i="29"/>
  <c r="I160" i="29"/>
  <c r="I128" i="29"/>
  <c r="I144" i="29"/>
  <c r="J274" i="53"/>
  <c r="J276" i="53" s="1"/>
  <c r="K47" i="61"/>
  <c r="H25" i="21"/>
  <c r="D9" i="69"/>
  <c r="E33" i="68" s="1"/>
  <c r="G44" i="61"/>
  <c r="C25" i="68"/>
  <c r="D182" i="29"/>
  <c r="D183" i="29" s="1"/>
  <c r="D184" i="29" s="1"/>
  <c r="D166" i="29"/>
  <c r="D167" i="29" s="1"/>
  <c r="D168" i="29" s="1"/>
  <c r="B43" i="21"/>
  <c r="B45" i="21" s="1"/>
  <c r="B50" i="21" s="1"/>
  <c r="D150" i="29"/>
  <c r="D151" i="29" s="1"/>
  <c r="D152" i="29" s="1"/>
  <c r="D42" i="29"/>
  <c r="D44" i="29" s="1"/>
  <c r="D48" i="29" s="1"/>
  <c r="D134" i="29"/>
  <c r="D135" i="29" s="1"/>
  <c r="D136" i="29" s="1"/>
  <c r="B67" i="21"/>
  <c r="B69" i="21" s="1"/>
  <c r="G271" i="55"/>
  <c r="G273" i="55" s="1"/>
  <c r="E22" i="21" s="1"/>
  <c r="I7" i="61"/>
  <c r="H21" i="61"/>
  <c r="H42" i="61" s="1"/>
  <c r="I124" i="29"/>
  <c r="I156" i="29"/>
  <c r="I33" i="29"/>
  <c r="I172" i="29"/>
  <c r="I140" i="29"/>
  <c r="Z5" i="103"/>
  <c r="K5" i="103"/>
  <c r="E18" i="103"/>
  <c r="E1" i="103" s="1"/>
  <c r="H9" i="21"/>
  <c r="K37" i="61"/>
  <c r="I274" i="53"/>
  <c r="I276" i="53" s="1"/>
  <c r="J47" i="61"/>
  <c r="G25" i="21"/>
  <c r="C43" i="21"/>
  <c r="C45" i="21" s="1"/>
  <c r="C50" i="21" s="1"/>
  <c r="E166" i="29"/>
  <c r="E167" i="29" s="1"/>
  <c r="E168" i="29" s="1"/>
  <c r="E42" i="29"/>
  <c r="E44" i="29" s="1"/>
  <c r="E48" i="29" s="1"/>
  <c r="C67" i="21"/>
  <c r="C69" i="21" s="1"/>
  <c r="D25" i="68"/>
  <c r="M21" i="68" s="1"/>
  <c r="E150" i="29"/>
  <c r="E151" i="29" s="1"/>
  <c r="E152" i="29" s="1"/>
  <c r="E182" i="29"/>
  <c r="E183" i="29" s="1"/>
  <c r="E184" i="29" s="1"/>
  <c r="E134" i="29"/>
  <c r="E135" i="29" s="1"/>
  <c r="E136" i="29" s="1"/>
  <c r="J66" i="55"/>
  <c r="J192" i="55" s="1"/>
  <c r="J10" i="55"/>
  <c r="T62" i="119"/>
  <c r="T63" i="119" s="1"/>
  <c r="T55" i="118"/>
  <c r="R40" i="118"/>
  <c r="Q65" i="118"/>
  <c r="E94" i="118"/>
  <c r="G46" i="29"/>
  <c r="H43" i="118"/>
  <c r="H62" i="118"/>
  <c r="G14" i="69" s="1"/>
  <c r="G16" i="69" s="1"/>
  <c r="Q45" i="119"/>
  <c r="Q66" i="119"/>
  <c r="E99" i="119" s="1"/>
  <c r="Q46" i="119"/>
  <c r="S34" i="118"/>
  <c r="R39" i="119"/>
  <c r="R40" i="119"/>
  <c r="H68" i="119"/>
  <c r="I37" i="119"/>
  <c r="S35" i="118"/>
  <c r="S37" i="118" s="1"/>
  <c r="J46" i="21" l="1"/>
  <c r="B25" i="69"/>
  <c r="B28" i="69" s="1"/>
  <c r="D11" i="62"/>
  <c r="C24" i="91" s="1"/>
  <c r="C26" i="91" s="1"/>
  <c r="D11" i="120"/>
  <c r="D12" i="120" s="1"/>
  <c r="E19" i="120" s="1"/>
  <c r="H139" i="29"/>
  <c r="H147" i="29" s="1"/>
  <c r="G10" i="21"/>
  <c r="J36" i="61"/>
  <c r="J41" i="61" s="1"/>
  <c r="G10" i="69" s="1"/>
  <c r="H32" i="68" s="1"/>
  <c r="I123" i="29"/>
  <c r="H32" i="29"/>
  <c r="H40" i="29" s="1"/>
  <c r="H171" i="29"/>
  <c r="H179" i="29" s="1"/>
  <c r="H155" i="29"/>
  <c r="H163" i="29" s="1"/>
  <c r="H123" i="29"/>
  <c r="H131" i="29" s="1"/>
  <c r="J265" i="55"/>
  <c r="J266" i="55"/>
  <c r="J180" i="55"/>
  <c r="J221" i="55" s="1"/>
  <c r="W154" i="55"/>
  <c r="X147" i="55"/>
  <c r="X154" i="55" s="1"/>
  <c r="G55" i="61"/>
  <c r="D25" i="69" s="1"/>
  <c r="E11" i="68" s="1"/>
  <c r="C11" i="68"/>
  <c r="J16" i="61"/>
  <c r="J21" i="61" s="1"/>
  <c r="J42" i="61" s="1"/>
  <c r="G9" i="69" s="1"/>
  <c r="J172" i="29"/>
  <c r="J124" i="29"/>
  <c r="J140" i="29"/>
  <c r="J156" i="29"/>
  <c r="J33" i="29"/>
  <c r="K50" i="61"/>
  <c r="H21" i="21"/>
  <c r="J180" i="72"/>
  <c r="J182" i="72" s="1"/>
  <c r="M1410" i="95"/>
  <c r="M1411" i="95" s="1"/>
  <c r="D12" i="94"/>
  <c r="V1384" i="95"/>
  <c r="V1385" i="95" s="1"/>
  <c r="F21" i="94"/>
  <c r="G17" i="21"/>
  <c r="I32" i="29"/>
  <c r="H49" i="61"/>
  <c r="H54" i="61" s="1"/>
  <c r="E26" i="69" s="1"/>
  <c r="F12" i="68" s="1"/>
  <c r="E29" i="21"/>
  <c r="G283" i="55"/>
  <c r="G286" i="55" s="1"/>
  <c r="I21" i="61"/>
  <c r="I42" i="61" s="1"/>
  <c r="J7" i="61"/>
  <c r="H271" i="55"/>
  <c r="D67" i="21"/>
  <c r="D69" i="21" s="1"/>
  <c r="D43" i="21"/>
  <c r="D45" i="21" s="1"/>
  <c r="D50" i="21" s="1"/>
  <c r="F182" i="29"/>
  <c r="F183" i="29" s="1"/>
  <c r="F184" i="29" s="1"/>
  <c r="F150" i="29"/>
  <c r="F151" i="29" s="1"/>
  <c r="F152" i="29" s="1"/>
  <c r="F166" i="29"/>
  <c r="F167" i="29" s="1"/>
  <c r="F168" i="29" s="1"/>
  <c r="E25" i="68"/>
  <c r="F42" i="29"/>
  <c r="F44" i="29" s="1"/>
  <c r="F48" i="29" s="1"/>
  <c r="F134" i="29"/>
  <c r="F135" i="29" s="1"/>
  <c r="F136" i="29" s="1"/>
  <c r="I21" i="120"/>
  <c r="I271" i="55"/>
  <c r="K7" i="61"/>
  <c r="D31" i="68"/>
  <c r="C28" i="69"/>
  <c r="D11" i="68"/>
  <c r="D13" i="68" s="1"/>
  <c r="J264" i="55"/>
  <c r="J263" i="55"/>
  <c r="B8" i="55"/>
  <c r="M1071" i="95" s="1"/>
  <c r="Y146" i="55"/>
  <c r="Y147" i="55" s="1"/>
  <c r="Y154" i="55" s="1"/>
  <c r="S134" i="55"/>
  <c r="AA145" i="55" s="1"/>
  <c r="I12" i="61"/>
  <c r="H270" i="55"/>
  <c r="E9" i="69"/>
  <c r="F33" i="68" s="1"/>
  <c r="H44" i="61"/>
  <c r="G21" i="21"/>
  <c r="I180" i="72"/>
  <c r="I182" i="72" s="1"/>
  <c r="J50" i="61"/>
  <c r="E12" i="68"/>
  <c r="T64" i="119"/>
  <c r="R41" i="118"/>
  <c r="R43" i="118" s="1"/>
  <c r="R62" i="118"/>
  <c r="I40" i="118"/>
  <c r="H65" i="118"/>
  <c r="R43" i="119"/>
  <c r="Q68" i="119"/>
  <c r="Q67" i="119"/>
  <c r="S37" i="119"/>
  <c r="I40" i="119"/>
  <c r="I68" i="119" s="1"/>
  <c r="I65" i="119"/>
  <c r="T34" i="118"/>
  <c r="S36" i="118"/>
  <c r="C31" i="68" l="1"/>
  <c r="F21" i="120"/>
  <c r="F20" i="120" s="1"/>
  <c r="F22" i="120" s="1"/>
  <c r="D12" i="62"/>
  <c r="C15" i="29" s="1"/>
  <c r="I125" i="29"/>
  <c r="I131" i="29" s="1"/>
  <c r="I34" i="29"/>
  <c r="I40" i="29" s="1"/>
  <c r="I173" i="29"/>
  <c r="I157" i="29"/>
  <c r="I141" i="29"/>
  <c r="I155" i="29"/>
  <c r="I139" i="29"/>
  <c r="I171" i="29"/>
  <c r="H10" i="21"/>
  <c r="K36" i="61"/>
  <c r="K41" i="61" s="1"/>
  <c r="H10" i="69" s="1"/>
  <c r="I32" i="68" s="1"/>
  <c r="D28" i="69"/>
  <c r="E31" i="68"/>
  <c r="K16" i="61"/>
  <c r="J271" i="55" s="1"/>
  <c r="H273" i="55"/>
  <c r="H55" i="61"/>
  <c r="E25" i="69" s="1"/>
  <c r="F31" i="68" s="1"/>
  <c r="J171" i="29"/>
  <c r="J139" i="29"/>
  <c r="J123" i="29"/>
  <c r="J155" i="29"/>
  <c r="J32" i="29"/>
  <c r="F34" i="92"/>
  <c r="AC1630" i="95"/>
  <c r="B34" i="69"/>
  <c r="C34" i="69" s="1"/>
  <c r="D34" i="69" s="1"/>
  <c r="E34" i="69" s="1"/>
  <c r="F34" i="69" s="1"/>
  <c r="G34" i="69" s="1"/>
  <c r="H34" i="69" s="1"/>
  <c r="C7" i="68"/>
  <c r="S1391" i="95"/>
  <c r="J44" i="61"/>
  <c r="E43" i="21"/>
  <c r="E45" i="21" s="1"/>
  <c r="E50" i="21" s="1"/>
  <c r="F25" i="68"/>
  <c r="G42" i="29"/>
  <c r="G44" i="29" s="1"/>
  <c r="G48" i="29" s="1"/>
  <c r="G150" i="29"/>
  <c r="G151" i="29" s="1"/>
  <c r="G152" i="29" s="1"/>
  <c r="G166" i="29"/>
  <c r="G167" i="29" s="1"/>
  <c r="G168" i="29" s="1"/>
  <c r="G182" i="29"/>
  <c r="G183" i="29" s="1"/>
  <c r="G184" i="29" s="1"/>
  <c r="G134" i="29"/>
  <c r="G135" i="29" s="1"/>
  <c r="G136" i="29" s="1"/>
  <c r="E67" i="21"/>
  <c r="E69" i="21" s="1"/>
  <c r="I270" i="55"/>
  <c r="I273" i="55" s="1"/>
  <c r="G22" i="21" s="1"/>
  <c r="J12" i="61"/>
  <c r="E13" i="68"/>
  <c r="K21" i="61"/>
  <c r="K42" i="61" s="1"/>
  <c r="H9" i="69" s="1"/>
  <c r="I33" i="68" s="1"/>
  <c r="F21" i="62"/>
  <c r="D72" i="29"/>
  <c r="J270" i="55"/>
  <c r="K12" i="61"/>
  <c r="F9" i="69"/>
  <c r="G33" i="68" s="1"/>
  <c r="I44" i="61"/>
  <c r="H6" i="68"/>
  <c r="F20" i="94"/>
  <c r="F26" i="92"/>
  <c r="S40" i="118"/>
  <c r="R65" i="118"/>
  <c r="R42" i="118"/>
  <c r="R64" i="118" s="1"/>
  <c r="R63" i="118"/>
  <c r="R44" i="119"/>
  <c r="R46" i="119" s="1"/>
  <c r="R65" i="119"/>
  <c r="I43" i="118"/>
  <c r="I65" i="118" s="1"/>
  <c r="I62" i="118"/>
  <c r="H14" i="69" s="1"/>
  <c r="H16" i="69" s="1"/>
  <c r="S38" i="119"/>
  <c r="S40" i="119"/>
  <c r="T35" i="118"/>
  <c r="D84" i="29" l="1"/>
  <c r="D22" i="29"/>
  <c r="C95" i="29"/>
  <c r="F26" i="91"/>
  <c r="G26" i="91" s="1"/>
  <c r="I179" i="29"/>
  <c r="I49" i="61"/>
  <c r="I54" i="61" s="1"/>
  <c r="F26" i="69" s="1"/>
  <c r="G12" i="68" s="1"/>
  <c r="F22" i="21"/>
  <c r="F29" i="21" s="1"/>
  <c r="G25" i="68" s="1"/>
  <c r="I163" i="29"/>
  <c r="H17" i="21"/>
  <c r="I6" i="68" s="1"/>
  <c r="J173" i="29"/>
  <c r="J179" i="29" s="1"/>
  <c r="J157" i="29"/>
  <c r="J141" i="29"/>
  <c r="J147" i="29" s="1"/>
  <c r="J125" i="29"/>
  <c r="J131" i="29" s="1"/>
  <c r="J34" i="29"/>
  <c r="J40" i="29" s="1"/>
  <c r="J163" i="29"/>
  <c r="I147" i="29"/>
  <c r="J273" i="55"/>
  <c r="K49" i="61" s="1"/>
  <c r="K54" i="61" s="1"/>
  <c r="H26" i="69" s="1"/>
  <c r="E28" i="69"/>
  <c r="H283" i="55"/>
  <c r="H286" i="55" s="1"/>
  <c r="F11" i="68"/>
  <c r="F13" i="68" s="1"/>
  <c r="H33" i="68"/>
  <c r="J49" i="61"/>
  <c r="J54" i="61" s="1"/>
  <c r="G26" i="69" s="1"/>
  <c r="H12" i="68" s="1"/>
  <c r="G29" i="21"/>
  <c r="I283" i="55"/>
  <c r="I286" i="55" s="1"/>
  <c r="C32" i="91"/>
  <c r="C40" i="91" s="1"/>
  <c r="F22" i="62"/>
  <c r="F31" i="92"/>
  <c r="F35" i="92" s="1"/>
  <c r="F22" i="94"/>
  <c r="S1392" i="95"/>
  <c r="S1394" i="95" s="1"/>
  <c r="D4" i="23"/>
  <c r="C10" i="68"/>
  <c r="C13" i="68" s="1"/>
  <c r="K44" i="61"/>
  <c r="F94" i="118"/>
  <c r="H46" i="29"/>
  <c r="S41" i="118"/>
  <c r="S62" i="118"/>
  <c r="S43" i="119"/>
  <c r="R68" i="119"/>
  <c r="R66" i="119"/>
  <c r="F99" i="119" s="1"/>
  <c r="R45" i="119"/>
  <c r="T37" i="119"/>
  <c r="S39" i="119"/>
  <c r="T37" i="118"/>
  <c r="T36" i="118"/>
  <c r="I55" i="61" l="1"/>
  <c r="F25" i="69" s="1"/>
  <c r="G31" i="68" s="1"/>
  <c r="H22" i="21"/>
  <c r="H29" i="21" s="1"/>
  <c r="F67" i="21"/>
  <c r="F69" i="21" s="1"/>
  <c r="H166" i="29"/>
  <c r="H167" i="29" s="1"/>
  <c r="H168" i="29" s="1"/>
  <c r="H134" i="29"/>
  <c r="H135" i="29" s="1"/>
  <c r="H136" i="29" s="1"/>
  <c r="F43" i="21"/>
  <c r="F45" i="21" s="1"/>
  <c r="F50" i="21" s="1"/>
  <c r="H150" i="29"/>
  <c r="H151" i="29" s="1"/>
  <c r="H152" i="29" s="1"/>
  <c r="H182" i="29"/>
  <c r="H183" i="29" s="1"/>
  <c r="H184" i="29" s="1"/>
  <c r="H42" i="29"/>
  <c r="H44" i="29" s="1"/>
  <c r="H48" i="29" s="1"/>
  <c r="J283" i="55"/>
  <c r="J286" i="55" s="1"/>
  <c r="J55" i="61"/>
  <c r="G25" i="69" s="1"/>
  <c r="H31" i="68" s="1"/>
  <c r="I12" i="68"/>
  <c r="H22" i="62"/>
  <c r="K24" i="62"/>
  <c r="K55" i="61"/>
  <c r="H25" i="69" s="1"/>
  <c r="I166" i="29"/>
  <c r="I167" i="29" s="1"/>
  <c r="I168" i="29" s="1"/>
  <c r="I150" i="29"/>
  <c r="I151" i="29" s="1"/>
  <c r="I152" i="29" s="1"/>
  <c r="G43" i="21"/>
  <c r="G45" i="21" s="1"/>
  <c r="G50" i="21" s="1"/>
  <c r="I182" i="29"/>
  <c r="I183" i="29" s="1"/>
  <c r="I184" i="29" s="1"/>
  <c r="I42" i="29"/>
  <c r="I44" i="29" s="1"/>
  <c r="I134" i="29"/>
  <c r="I135" i="29" s="1"/>
  <c r="I136" i="29" s="1"/>
  <c r="H25" i="68"/>
  <c r="G67" i="21"/>
  <c r="G69" i="21" s="1"/>
  <c r="C10" i="23"/>
  <c r="D10" i="23" s="1"/>
  <c r="F10" i="23" s="1"/>
  <c r="E10" i="23" s="1"/>
  <c r="G10" i="23" s="1"/>
  <c r="C11" i="23" s="1"/>
  <c r="D11" i="23" s="1"/>
  <c r="F11" i="23" s="1"/>
  <c r="E11" i="23" s="1"/>
  <c r="G11" i="23" s="1"/>
  <c r="C12" i="23" s="1"/>
  <c r="D12" i="23" s="1"/>
  <c r="F12" i="23" s="1"/>
  <c r="E12" i="23" s="1"/>
  <c r="G12" i="23" s="1"/>
  <c r="C13" i="23" s="1"/>
  <c r="D13" i="23" s="1"/>
  <c r="F13" i="23" s="1"/>
  <c r="E13" i="23" s="1"/>
  <c r="G13" i="23" s="1"/>
  <c r="C14" i="23" s="1"/>
  <c r="D8" i="23"/>
  <c r="G11" i="68"/>
  <c r="G13" i="68" s="1"/>
  <c r="F28" i="69"/>
  <c r="S42" i="118"/>
  <c r="S64" i="118" s="1"/>
  <c r="S63" i="118"/>
  <c r="S43" i="118"/>
  <c r="R67" i="119"/>
  <c r="S44" i="119"/>
  <c r="S66" i="119" s="1"/>
  <c r="G99" i="119" s="1"/>
  <c r="S65" i="119"/>
  <c r="T38" i="119"/>
  <c r="H67" i="21" l="1"/>
  <c r="H69" i="21" s="1"/>
  <c r="J166" i="29"/>
  <c r="J167" i="29" s="1"/>
  <c r="J168" i="29" s="1"/>
  <c r="H43" i="21"/>
  <c r="H45" i="21" s="1"/>
  <c r="H50" i="21" s="1"/>
  <c r="I25" i="68"/>
  <c r="J42" i="29"/>
  <c r="J44" i="29" s="1"/>
  <c r="L44" i="29" s="1"/>
  <c r="J182" i="29"/>
  <c r="J183" i="29" s="1"/>
  <c r="J184" i="29" s="1"/>
  <c r="J134" i="29"/>
  <c r="J135" i="29" s="1"/>
  <c r="J136" i="29" s="1"/>
  <c r="J150" i="29"/>
  <c r="J151" i="29" s="1"/>
  <c r="J152" i="29" s="1"/>
  <c r="G28" i="69"/>
  <c r="H11" i="68"/>
  <c r="H13" i="68" s="1"/>
  <c r="D14" i="23"/>
  <c r="F14" i="23" s="1"/>
  <c r="E14" i="23" s="1"/>
  <c r="G14" i="23" s="1"/>
  <c r="C15" i="23" s="1"/>
  <c r="D15" i="23" s="1"/>
  <c r="F15" i="23" s="1"/>
  <c r="E15" i="23" s="1"/>
  <c r="G15" i="23" s="1"/>
  <c r="C16" i="23" s="1"/>
  <c r="D16" i="23" s="1"/>
  <c r="I31" i="68"/>
  <c r="H28" i="69"/>
  <c r="I11" i="68"/>
  <c r="I13" i="68" s="1"/>
  <c r="F78" i="23"/>
  <c r="F44" i="23"/>
  <c r="F41" i="23"/>
  <c r="F45" i="23"/>
  <c r="F31" i="23"/>
  <c r="F22" i="23"/>
  <c r="F40" i="23"/>
  <c r="F35" i="23"/>
  <c r="F19" i="23"/>
  <c r="F24" i="23"/>
  <c r="F43" i="23"/>
  <c r="F48" i="23"/>
  <c r="F79" i="23"/>
  <c r="F70" i="23"/>
  <c r="F74" i="23"/>
  <c r="F21" i="23"/>
  <c r="F69" i="23"/>
  <c r="F49" i="23"/>
  <c r="F63" i="23"/>
  <c r="F23" i="23"/>
  <c r="F81" i="23"/>
  <c r="F54" i="23"/>
  <c r="F29" i="23"/>
  <c r="F27" i="23"/>
  <c r="F88" i="23"/>
  <c r="F28" i="23"/>
  <c r="F56" i="23"/>
  <c r="F87" i="23"/>
  <c r="F80" i="23"/>
  <c r="F73" i="23"/>
  <c r="F91" i="23"/>
  <c r="F77" i="23"/>
  <c r="F50" i="23"/>
  <c r="F86" i="23"/>
  <c r="F47" i="23"/>
  <c r="F72" i="23"/>
  <c r="F33" i="23"/>
  <c r="F76" i="23"/>
  <c r="F61" i="23"/>
  <c r="F30" i="23"/>
  <c r="F57" i="23"/>
  <c r="F65" i="23"/>
  <c r="F93" i="23"/>
  <c r="F32" i="23"/>
  <c r="F67" i="23"/>
  <c r="F92" i="23"/>
  <c r="F39" i="23"/>
  <c r="F36" i="23"/>
  <c r="F83" i="23"/>
  <c r="F42" i="23"/>
  <c r="F68" i="23"/>
  <c r="F60" i="23"/>
  <c r="F52" i="23"/>
  <c r="F85" i="23"/>
  <c r="F59" i="23"/>
  <c r="F53" i="23"/>
  <c r="F90" i="23"/>
  <c r="F51" i="23"/>
  <c r="F75" i="23"/>
  <c r="F66" i="23"/>
  <c r="F84" i="23"/>
  <c r="F58" i="23"/>
  <c r="F17" i="23"/>
  <c r="F82" i="23"/>
  <c r="F38" i="23"/>
  <c r="F64" i="23"/>
  <c r="F55" i="23"/>
  <c r="F89" i="23"/>
  <c r="F16" i="23"/>
  <c r="F34" i="23"/>
  <c r="F37" i="23"/>
  <c r="F71" i="23"/>
  <c r="F46" i="23"/>
  <c r="F62" i="23"/>
  <c r="F25" i="23"/>
  <c r="F26" i="23"/>
  <c r="F18" i="23"/>
  <c r="F20" i="23"/>
  <c r="S46" i="119"/>
  <c r="S68" i="119" s="1"/>
  <c r="G94" i="118"/>
  <c r="I46" i="29"/>
  <c r="T40" i="118"/>
  <c r="S65" i="118"/>
  <c r="S45" i="119"/>
  <c r="T40" i="119"/>
  <c r="T39" i="119"/>
  <c r="E16" i="23" l="1"/>
  <c r="G16" i="23" s="1"/>
  <c r="C17" i="23" s="1"/>
  <c r="D17" i="23" s="1"/>
  <c r="E17" i="23" s="1"/>
  <c r="G17" i="23" s="1"/>
  <c r="C18" i="23" s="1"/>
  <c r="D18" i="23" s="1"/>
  <c r="E18" i="23" s="1"/>
  <c r="G18" i="23" s="1"/>
  <c r="C19" i="23" s="1"/>
  <c r="T43" i="119"/>
  <c r="T41" i="118"/>
  <c r="T43" i="118" s="1"/>
  <c r="T65" i="118" s="1"/>
  <c r="T62" i="118"/>
  <c r="I48" i="29"/>
  <c r="S67" i="119"/>
  <c r="T44" i="119"/>
  <c r="T66" i="119" s="1"/>
  <c r="H99" i="119" s="1"/>
  <c r="T65" i="119"/>
  <c r="T46" i="119" l="1"/>
  <c r="T68" i="119" s="1"/>
  <c r="T42" i="118"/>
  <c r="T64" i="118" s="1"/>
  <c r="T63" i="118"/>
  <c r="T45" i="119"/>
  <c r="T67" i="119" s="1"/>
  <c r="D19" i="23"/>
  <c r="E19" i="23" s="1"/>
  <c r="G19" i="23" s="1"/>
  <c r="C20" i="23" s="1"/>
  <c r="J46" i="29" l="1"/>
  <c r="H94" i="118"/>
  <c r="D20" i="23"/>
  <c r="E20" i="23" s="1"/>
  <c r="G20" i="23" s="1"/>
  <c r="C21" i="23" s="1"/>
  <c r="J48" i="29" l="1"/>
  <c r="D50" i="29" s="1"/>
  <c r="L46" i="29"/>
  <c r="L48" i="29" s="1"/>
  <c r="D21" i="23"/>
  <c r="D28" i="62" l="1"/>
  <c r="D28" i="120"/>
  <c r="D28" i="94"/>
  <c r="S1632" i="95" s="1"/>
  <c r="E21" i="23"/>
  <c r="C29" i="68"/>
  <c r="B52" i="21" s="1"/>
  <c r="B54" i="21" s="1"/>
  <c r="B92" i="118" l="1"/>
  <c r="B95" i="118" s="1"/>
  <c r="B96" i="118" s="1"/>
  <c r="C34" i="68" s="1"/>
  <c r="B55" i="21" s="1"/>
  <c r="S1903" i="95" s="1"/>
  <c r="B97" i="119"/>
  <c r="B100" i="119" s="1"/>
  <c r="B101" i="119" s="1"/>
  <c r="D110" i="29"/>
  <c r="D111" i="29" s="1"/>
  <c r="J45" i="21"/>
  <c r="J47" i="21" s="1"/>
  <c r="C28" i="68"/>
  <c r="G21" i="23"/>
  <c r="C36" i="68" l="1"/>
  <c r="C37" i="68" s="1"/>
  <c r="C39" i="68" s="1"/>
  <c r="D113" i="29"/>
  <c r="D115" i="29" s="1"/>
  <c r="B56" i="21"/>
  <c r="C22" i="23"/>
  <c r="B29" i="69"/>
  <c r="B32" i="69" s="1"/>
  <c r="D22" i="23" l="1"/>
  <c r="D81" i="29"/>
  <c r="B58" i="21"/>
  <c r="D9" i="29"/>
  <c r="D14" i="29" s="1"/>
  <c r="D59" i="29"/>
  <c r="D64" i="29" s="1"/>
  <c r="D68" i="29" s="1"/>
  <c r="D96" i="29"/>
  <c r="D99" i="29" s="1"/>
  <c r="D100" i="29" s="1"/>
  <c r="B8" i="69"/>
  <c r="B12" i="69" s="1"/>
  <c r="B21" i="69" s="1"/>
  <c r="D38" i="68"/>
  <c r="D15" i="29" l="1"/>
  <c r="E22" i="23"/>
  <c r="B38" i="69"/>
  <c r="B40" i="69" s="1"/>
  <c r="B68" i="21"/>
  <c r="B70" i="21" s="1"/>
  <c r="B42" i="69" l="1"/>
  <c r="B44" i="69" s="1"/>
  <c r="B47" i="69" s="1"/>
  <c r="C37" i="69"/>
  <c r="G22" i="23"/>
  <c r="C23" i="23" s="1"/>
  <c r="D23" i="23" l="1"/>
  <c r="E23" i="23" l="1"/>
  <c r="G23" i="23" l="1"/>
  <c r="C24" i="23" s="1"/>
  <c r="D24" i="23" l="1"/>
  <c r="E24" i="23" l="1"/>
  <c r="G24" i="23" l="1"/>
  <c r="C25" i="23" s="1"/>
  <c r="D25" i="23" l="1"/>
  <c r="E25" i="23" l="1"/>
  <c r="G25" i="23" l="1"/>
  <c r="C26" i="23" s="1"/>
  <c r="D26" i="23" l="1"/>
  <c r="E26" i="23" l="1"/>
  <c r="G26" i="23" l="1"/>
  <c r="C27" i="23" s="1"/>
  <c r="D27" i="23" l="1"/>
  <c r="E27" i="23" s="1"/>
  <c r="G27" i="23" s="1"/>
  <c r="C28" i="23" s="1"/>
  <c r="D28" i="23" l="1"/>
  <c r="E28" i="23" s="1"/>
  <c r="G28" i="23" s="1"/>
  <c r="C29" i="23" s="1"/>
  <c r="D29" i="23" l="1"/>
  <c r="E29" i="23" s="1"/>
  <c r="G29" i="23" s="1"/>
  <c r="C30" i="23" s="1"/>
  <c r="D30" i="23" l="1"/>
  <c r="E30" i="23" s="1"/>
  <c r="G30" i="23" s="1"/>
  <c r="C31" i="23" s="1"/>
  <c r="D31" i="23" l="1"/>
  <c r="E31" i="23" s="1"/>
  <c r="G31" i="23" s="1"/>
  <c r="C32" i="23" s="1"/>
  <c r="D32" i="23" l="1"/>
  <c r="E32" i="23" s="1"/>
  <c r="G32" i="23" s="1"/>
  <c r="C33" i="23" s="1"/>
  <c r="D33" i="23" l="1"/>
  <c r="E33" i="23" l="1"/>
  <c r="D29" i="68"/>
  <c r="C52" i="21" s="1"/>
  <c r="C54" i="21" s="1"/>
  <c r="C92" i="118" l="1"/>
  <c r="C95" i="118" s="1"/>
  <c r="C96" i="118" s="1"/>
  <c r="D34" i="68" s="1"/>
  <c r="C55" i="21" s="1"/>
  <c r="C56" i="21" s="1"/>
  <c r="C97" i="119"/>
  <c r="C100" i="119" s="1"/>
  <c r="C101" i="119" s="1"/>
  <c r="E110" i="29"/>
  <c r="E111" i="29" s="1"/>
  <c r="D28" i="68"/>
  <c r="G33" i="23"/>
  <c r="C38" i="69" l="1"/>
  <c r="C40" i="69" s="1"/>
  <c r="E96" i="29"/>
  <c r="E99" i="29" s="1"/>
  <c r="E100" i="29" s="1"/>
  <c r="E9" i="29"/>
  <c r="E14" i="29" s="1"/>
  <c r="E59" i="29"/>
  <c r="E64" i="29" s="1"/>
  <c r="E68" i="29" s="1"/>
  <c r="E81" i="29"/>
  <c r="C58" i="21"/>
  <c r="D36" i="68"/>
  <c r="D37" i="68" s="1"/>
  <c r="D39" i="68" s="1"/>
  <c r="E113" i="29"/>
  <c r="C34" i="23"/>
  <c r="C29" i="69"/>
  <c r="C32" i="69" s="1"/>
  <c r="C8" i="69" l="1"/>
  <c r="C12" i="69" s="1"/>
  <c r="C21" i="69" s="1"/>
  <c r="E38" i="68"/>
  <c r="E15" i="29"/>
  <c r="C68" i="21"/>
  <c r="C70" i="21" s="1"/>
  <c r="D34" i="23"/>
  <c r="E115" i="29"/>
  <c r="D37" i="69"/>
  <c r="C42" i="69"/>
  <c r="C44" i="69" s="1"/>
  <c r="C47" i="69" l="1"/>
  <c r="E34" i="23"/>
  <c r="G34" i="23" l="1"/>
  <c r="C35" i="23" s="1"/>
  <c r="D35" i="23" l="1"/>
  <c r="E35" i="23" l="1"/>
  <c r="G35" i="23" l="1"/>
  <c r="C36" i="23" s="1"/>
  <c r="D36" i="23" l="1"/>
  <c r="E36" i="23" l="1"/>
  <c r="G36" i="23" l="1"/>
  <c r="C37" i="23" s="1"/>
  <c r="D37" i="23" l="1"/>
  <c r="E37" i="23" l="1"/>
  <c r="G37" i="23" l="1"/>
  <c r="C38" i="23" s="1"/>
  <c r="D38" i="23" l="1"/>
  <c r="E38" i="23" l="1"/>
  <c r="G38" i="23" l="1"/>
  <c r="C39" i="23" s="1"/>
  <c r="D39" i="23" l="1"/>
  <c r="E39" i="23" s="1"/>
  <c r="G39" i="23" s="1"/>
  <c r="C40" i="23" s="1"/>
  <c r="D40" i="23" l="1"/>
  <c r="E40" i="23" s="1"/>
  <c r="G40" i="23" s="1"/>
  <c r="C41" i="23" s="1"/>
  <c r="D41" i="23" l="1"/>
  <c r="E41" i="23" s="1"/>
  <c r="G41" i="23" s="1"/>
  <c r="C42" i="23" s="1"/>
  <c r="D42" i="23" l="1"/>
  <c r="E42" i="23" s="1"/>
  <c r="G42" i="23" s="1"/>
  <c r="C43" i="23" s="1"/>
  <c r="D43" i="23" l="1"/>
  <c r="E43" i="23" s="1"/>
  <c r="G43" i="23" s="1"/>
  <c r="C44" i="23" s="1"/>
  <c r="D44" i="23" l="1"/>
  <c r="E44" i="23" s="1"/>
  <c r="G44" i="23" s="1"/>
  <c r="C45" i="23" s="1"/>
  <c r="D45" i="23" l="1"/>
  <c r="E45" i="23" l="1"/>
  <c r="E29" i="68"/>
  <c r="D52" i="21" s="1"/>
  <c r="D54" i="21" s="1"/>
  <c r="F110" i="29" l="1"/>
  <c r="F111" i="29" s="1"/>
  <c r="D92" i="118"/>
  <c r="D95" i="118" s="1"/>
  <c r="D96" i="118" s="1"/>
  <c r="E34" i="68" s="1"/>
  <c r="D55" i="21" s="1"/>
  <c r="D56" i="21" s="1"/>
  <c r="D97" i="119"/>
  <c r="D100" i="119" s="1"/>
  <c r="D101" i="119" s="1"/>
  <c r="E28" i="68"/>
  <c r="G45" i="23"/>
  <c r="F81" i="29" l="1"/>
  <c r="F9" i="29"/>
  <c r="F14" i="29" s="1"/>
  <c r="F96" i="29"/>
  <c r="F99" i="29" s="1"/>
  <c r="F100" i="29" s="1"/>
  <c r="F59" i="29"/>
  <c r="F64" i="29" s="1"/>
  <c r="F68" i="29" s="1"/>
  <c r="D38" i="69"/>
  <c r="D40" i="69" s="1"/>
  <c r="D58" i="21"/>
  <c r="D29" i="69"/>
  <c r="D32" i="69" s="1"/>
  <c r="C46" i="23"/>
  <c r="F113" i="29"/>
  <c r="F115" i="29" s="1"/>
  <c r="E36" i="68"/>
  <c r="E37" i="68" s="1"/>
  <c r="E39" i="68" s="1"/>
  <c r="D46" i="23" l="1"/>
  <c r="D8" i="69"/>
  <c r="D12" i="69" s="1"/>
  <c r="D21" i="69" s="1"/>
  <c r="F38" i="68"/>
  <c r="D68" i="21"/>
  <c r="D70" i="21" s="1"/>
  <c r="F15" i="29"/>
  <c r="E37" i="69"/>
  <c r="D42" i="69"/>
  <c r="D44" i="69" s="1"/>
  <c r="D47" i="69" l="1"/>
  <c r="E46" i="23"/>
  <c r="G46" i="23" l="1"/>
  <c r="C47" i="23" s="1"/>
  <c r="D47" i="23" l="1"/>
  <c r="E47" i="23" l="1"/>
  <c r="G47" i="23" l="1"/>
  <c r="C48" i="23" s="1"/>
  <c r="D48" i="23" l="1"/>
  <c r="E48" i="23" l="1"/>
  <c r="G48" i="23" l="1"/>
  <c r="C49" i="23" s="1"/>
  <c r="D49" i="23" l="1"/>
  <c r="E49" i="23" l="1"/>
  <c r="G49" i="23" l="1"/>
  <c r="C50" i="23" s="1"/>
  <c r="D50" i="23" l="1"/>
  <c r="E50" i="23" l="1"/>
  <c r="G50" i="23" l="1"/>
  <c r="C51" i="23" s="1"/>
  <c r="D51" i="23" l="1"/>
  <c r="E51" i="23" s="1"/>
  <c r="G51" i="23" s="1"/>
  <c r="C52" i="23" s="1"/>
  <c r="D52" i="23" l="1"/>
  <c r="E52" i="23" s="1"/>
  <c r="G52" i="23" s="1"/>
  <c r="C53" i="23" s="1"/>
  <c r="D53" i="23" l="1"/>
  <c r="E53" i="23" s="1"/>
  <c r="G53" i="23" s="1"/>
  <c r="C54" i="23" s="1"/>
  <c r="D54" i="23" l="1"/>
  <c r="E54" i="23" s="1"/>
  <c r="G54" i="23" s="1"/>
  <c r="C55" i="23" s="1"/>
  <c r="D55" i="23" l="1"/>
  <c r="E55" i="23" s="1"/>
  <c r="G55" i="23" s="1"/>
  <c r="C56" i="23" s="1"/>
  <c r="D56" i="23" l="1"/>
  <c r="E56" i="23" s="1"/>
  <c r="G56" i="23" s="1"/>
  <c r="C57" i="23" s="1"/>
  <c r="D57" i="23" l="1"/>
  <c r="E57" i="23" l="1"/>
  <c r="F29" i="68"/>
  <c r="E52" i="21" s="1"/>
  <c r="E54" i="21" s="1"/>
  <c r="E97" i="119" l="1"/>
  <c r="E100" i="119" s="1"/>
  <c r="E101" i="119" s="1"/>
  <c r="G110" i="29"/>
  <c r="G111" i="29" s="1"/>
  <c r="E92" i="118"/>
  <c r="E95" i="118" s="1"/>
  <c r="E96" i="118" s="1"/>
  <c r="F34" i="68" s="1"/>
  <c r="E55" i="21" s="1"/>
  <c r="E56" i="21" s="1"/>
  <c r="F28" i="68"/>
  <c r="G57" i="23"/>
  <c r="G96" i="29" l="1"/>
  <c r="G99" i="29" s="1"/>
  <c r="G100" i="29" s="1"/>
  <c r="G81" i="29"/>
  <c r="G59" i="29"/>
  <c r="G64" i="29" s="1"/>
  <c r="G68" i="29" s="1"/>
  <c r="E38" i="69"/>
  <c r="E40" i="69" s="1"/>
  <c r="G9" i="29"/>
  <c r="G14" i="29" s="1"/>
  <c r="E58" i="21"/>
  <c r="E29" i="69"/>
  <c r="E32" i="69" s="1"/>
  <c r="C58" i="23"/>
  <c r="F36" i="68"/>
  <c r="F37" i="68" s="1"/>
  <c r="F39" i="68" s="1"/>
  <c r="G113" i="29"/>
  <c r="G115" i="29" s="1"/>
  <c r="E42" i="69" l="1"/>
  <c r="E44" i="69" s="1"/>
  <c r="F37" i="69"/>
  <c r="E8" i="69"/>
  <c r="E12" i="69" s="1"/>
  <c r="E21" i="69" s="1"/>
  <c r="G38" i="68"/>
  <c r="E68" i="21"/>
  <c r="E70" i="21" s="1"/>
  <c r="D58" i="23"/>
  <c r="G15" i="29"/>
  <c r="E47" i="69" l="1"/>
  <c r="E58" i="23"/>
  <c r="G58" i="23" l="1"/>
  <c r="C59" i="23" s="1"/>
  <c r="D59" i="23" l="1"/>
  <c r="E59" i="23" l="1"/>
  <c r="G59" i="23" l="1"/>
  <c r="C60" i="23" s="1"/>
  <c r="D60" i="23" l="1"/>
  <c r="E60" i="23" l="1"/>
  <c r="G60" i="23" l="1"/>
  <c r="C61" i="23" s="1"/>
  <c r="D61" i="23" l="1"/>
  <c r="E61" i="23" l="1"/>
  <c r="G61" i="23" l="1"/>
  <c r="C62" i="23" s="1"/>
  <c r="D62" i="23" l="1"/>
  <c r="E62" i="23" l="1"/>
  <c r="G62" i="23" l="1"/>
  <c r="C63" i="23" s="1"/>
  <c r="D63" i="23" l="1"/>
  <c r="E63" i="23" s="1"/>
  <c r="G63" i="23" s="1"/>
  <c r="C64" i="23" s="1"/>
  <c r="D64" i="23" l="1"/>
  <c r="E64" i="23" s="1"/>
  <c r="G64" i="23" s="1"/>
  <c r="C65" i="23" s="1"/>
  <c r="D65" i="23" l="1"/>
  <c r="E65" i="23" s="1"/>
  <c r="G65" i="23" s="1"/>
  <c r="C66" i="23" s="1"/>
  <c r="D66" i="23" l="1"/>
  <c r="E66" i="23" s="1"/>
  <c r="G66" i="23" s="1"/>
  <c r="C67" i="23" s="1"/>
  <c r="D67" i="23" l="1"/>
  <c r="E67" i="23" s="1"/>
  <c r="G67" i="23" s="1"/>
  <c r="C68" i="23" s="1"/>
  <c r="D68" i="23" l="1"/>
  <c r="E68" i="23" s="1"/>
  <c r="G68" i="23" s="1"/>
  <c r="C69" i="23" s="1"/>
  <c r="D69" i="23" l="1"/>
  <c r="E69" i="23" l="1"/>
  <c r="G29" i="68"/>
  <c r="F52" i="21" s="1"/>
  <c r="F54" i="21" s="1"/>
  <c r="H110" i="29" l="1"/>
  <c r="H111" i="29" s="1"/>
  <c r="F92" i="118"/>
  <c r="F95" i="118" s="1"/>
  <c r="F96" i="118" s="1"/>
  <c r="G34" i="68" s="1"/>
  <c r="F55" i="21" s="1"/>
  <c r="F56" i="21" s="1"/>
  <c r="F97" i="119"/>
  <c r="F100" i="119" s="1"/>
  <c r="F101" i="119" s="1"/>
  <c r="G28" i="68"/>
  <c r="G69" i="23"/>
  <c r="H9" i="29" l="1"/>
  <c r="H14" i="29" s="1"/>
  <c r="H96" i="29"/>
  <c r="H99" i="29" s="1"/>
  <c r="F38" i="69"/>
  <c r="F40" i="69" s="1"/>
  <c r="H81" i="29"/>
  <c r="H59" i="29"/>
  <c r="H64" i="29" s="1"/>
  <c r="H68" i="29" s="1"/>
  <c r="F58" i="21"/>
  <c r="C70" i="23"/>
  <c r="F29" i="69"/>
  <c r="F32" i="69" s="1"/>
  <c r="H113" i="29"/>
  <c r="H115" i="29" s="1"/>
  <c r="G36" i="68"/>
  <c r="G37" i="68" s="1"/>
  <c r="G39" i="68" s="1"/>
  <c r="D70" i="23" l="1"/>
  <c r="F42" i="69"/>
  <c r="F44" i="69" s="1"/>
  <c r="G37" i="69"/>
  <c r="F8" i="69"/>
  <c r="F12" i="69" s="1"/>
  <c r="F21" i="69" s="1"/>
  <c r="H38" i="68"/>
  <c r="F68" i="21"/>
  <c r="F70" i="21" s="1"/>
  <c r="D102" i="29"/>
  <c r="H100" i="29"/>
  <c r="H15" i="29"/>
  <c r="F47" i="69" l="1"/>
  <c r="E70" i="23"/>
  <c r="D32" i="94"/>
  <c r="D32" i="62"/>
  <c r="D32" i="120"/>
  <c r="F42" i="92" l="1"/>
  <c r="S1629" i="95"/>
  <c r="G70" i="23"/>
  <c r="C71" i="23" s="1"/>
  <c r="D71" i="23" l="1"/>
  <c r="E71" i="23" l="1"/>
  <c r="G71" i="23" l="1"/>
  <c r="C72" i="23" s="1"/>
  <c r="D72" i="23" l="1"/>
  <c r="E72" i="23" l="1"/>
  <c r="G72" i="23" l="1"/>
  <c r="C73" i="23" s="1"/>
  <c r="D73" i="23" l="1"/>
  <c r="E73" i="23" l="1"/>
  <c r="G73" i="23" l="1"/>
  <c r="C74" i="23" s="1"/>
  <c r="D74" i="23" l="1"/>
  <c r="E74" i="23" l="1"/>
  <c r="G74" i="23" l="1"/>
  <c r="C75" i="23" s="1"/>
  <c r="D75" i="23" l="1"/>
  <c r="E75" i="23" s="1"/>
  <c r="G75" i="23" s="1"/>
  <c r="C76" i="23" s="1"/>
  <c r="D76" i="23" l="1"/>
  <c r="E76" i="23" s="1"/>
  <c r="G76" i="23" s="1"/>
  <c r="C77" i="23" s="1"/>
  <c r="D77" i="23" l="1"/>
  <c r="E77" i="23" s="1"/>
  <c r="G77" i="23" s="1"/>
  <c r="C78" i="23" s="1"/>
  <c r="D78" i="23" l="1"/>
  <c r="E78" i="23" s="1"/>
  <c r="G78" i="23" s="1"/>
  <c r="C79" i="23" s="1"/>
  <c r="D79" i="23" l="1"/>
  <c r="E79" i="23" s="1"/>
  <c r="G79" i="23" s="1"/>
  <c r="C80" i="23" s="1"/>
  <c r="D80" i="23" l="1"/>
  <c r="E80" i="23" s="1"/>
  <c r="G80" i="23" s="1"/>
  <c r="C81" i="23" s="1"/>
  <c r="D81" i="23" l="1"/>
  <c r="E81" i="23" l="1"/>
  <c r="H29" i="68"/>
  <c r="G52" i="21" s="1"/>
  <c r="G54" i="21" s="1"/>
  <c r="G97" i="119" l="1"/>
  <c r="G100" i="119" s="1"/>
  <c r="G101" i="119" s="1"/>
  <c r="I110" i="29"/>
  <c r="I111" i="29" s="1"/>
  <c r="G92" i="118"/>
  <c r="G95" i="118" s="1"/>
  <c r="G96" i="118" s="1"/>
  <c r="H34" i="68" s="1"/>
  <c r="G55" i="21" s="1"/>
  <c r="G56" i="21" s="1"/>
  <c r="H28" i="68"/>
  <c r="G81" i="23"/>
  <c r="I81" i="29" l="1"/>
  <c r="I96" i="29"/>
  <c r="I99" i="29" s="1"/>
  <c r="I9" i="29"/>
  <c r="I14" i="29" s="1"/>
  <c r="G38" i="69"/>
  <c r="G40" i="69" s="1"/>
  <c r="I59" i="29"/>
  <c r="I64" i="29" s="1"/>
  <c r="I68" i="29" s="1"/>
  <c r="G58" i="21"/>
  <c r="C82" i="23"/>
  <c r="G29" i="69"/>
  <c r="G32" i="69" s="1"/>
  <c r="I113" i="29"/>
  <c r="I115" i="29" s="1"/>
  <c r="H36" i="68"/>
  <c r="H37" i="68" s="1"/>
  <c r="H39" i="68" s="1"/>
  <c r="D82" i="23" l="1"/>
  <c r="H37" i="69"/>
  <c r="G42" i="69"/>
  <c r="G44" i="69" s="1"/>
  <c r="G8" i="69"/>
  <c r="G12" i="69" s="1"/>
  <c r="G21" i="69" s="1"/>
  <c r="I38" i="68"/>
  <c r="I15" i="29"/>
  <c r="G68" i="21"/>
  <c r="G70" i="21" s="1"/>
  <c r="G47" i="69" l="1"/>
  <c r="E82" i="23"/>
  <c r="G82" i="23" l="1"/>
  <c r="C83" i="23" s="1"/>
  <c r="D83" i="23" l="1"/>
  <c r="E83" i="23" l="1"/>
  <c r="G83" i="23" l="1"/>
  <c r="C84" i="23" s="1"/>
  <c r="D84" i="23" l="1"/>
  <c r="E84" i="23" l="1"/>
  <c r="G84" i="23" l="1"/>
  <c r="C85" i="23" s="1"/>
  <c r="D85" i="23" l="1"/>
  <c r="E85" i="23" l="1"/>
  <c r="G85" i="23" l="1"/>
  <c r="C86" i="23" s="1"/>
  <c r="D86" i="23" l="1"/>
  <c r="E86" i="23" l="1"/>
  <c r="G86" i="23" l="1"/>
  <c r="C87" i="23" s="1"/>
  <c r="D87" i="23" l="1"/>
  <c r="E87" i="23" s="1"/>
  <c r="G87" i="23" s="1"/>
  <c r="C88" i="23" s="1"/>
  <c r="D88" i="23" l="1"/>
  <c r="E88" i="23" s="1"/>
  <c r="G88" i="23" s="1"/>
  <c r="C89" i="23" s="1"/>
  <c r="D89" i="23" l="1"/>
  <c r="E89" i="23" s="1"/>
  <c r="G89" i="23" s="1"/>
  <c r="C90" i="23" s="1"/>
  <c r="D90" i="23" l="1"/>
  <c r="E90" i="23" s="1"/>
  <c r="G90" i="23" s="1"/>
  <c r="C91" i="23" s="1"/>
  <c r="D91" i="23" l="1"/>
  <c r="E91" i="23" s="1"/>
  <c r="G91" i="23" s="1"/>
  <c r="C92" i="23" s="1"/>
  <c r="D92" i="23" l="1"/>
  <c r="E92" i="23" s="1"/>
  <c r="G92" i="23" s="1"/>
  <c r="C93" i="23" s="1"/>
  <c r="D93" i="23" l="1"/>
  <c r="E93" i="23" l="1"/>
  <c r="D94" i="23"/>
  <c r="I29" i="68"/>
  <c r="H52" i="21" s="1"/>
  <c r="H54" i="21" s="1"/>
  <c r="J110" i="29" l="1"/>
  <c r="J111" i="29" s="1"/>
  <c r="H92" i="118"/>
  <c r="H95" i="118" s="1"/>
  <c r="H96" i="118" s="1"/>
  <c r="I34" i="68" s="1"/>
  <c r="H55" i="21" s="1"/>
  <c r="H56" i="21" s="1"/>
  <c r="H97" i="119"/>
  <c r="H100" i="119" s="1"/>
  <c r="H101" i="119" s="1"/>
  <c r="E94" i="23"/>
  <c r="I28" i="68"/>
  <c r="G93" i="23"/>
  <c r="H29" i="69" s="1"/>
  <c r="H32" i="69" s="1"/>
  <c r="J9" i="29" l="1"/>
  <c r="J14" i="29" s="1"/>
  <c r="J96" i="29"/>
  <c r="J99" i="29" s="1"/>
  <c r="H38" i="69"/>
  <c r="H40" i="69" s="1"/>
  <c r="H42" i="69" s="1"/>
  <c r="H44" i="69" s="1"/>
  <c r="J59" i="29"/>
  <c r="J64" i="29" s="1"/>
  <c r="J68" i="29" s="1"/>
  <c r="D70" i="29" s="1"/>
  <c r="D74" i="29" s="1"/>
  <c r="J81" i="29"/>
  <c r="D83" i="29" s="1"/>
  <c r="H58" i="21"/>
  <c r="H68" i="21" s="1"/>
  <c r="H70" i="21" s="1"/>
  <c r="J113" i="29"/>
  <c r="M113" i="29" s="1"/>
  <c r="K113" i="29" s="1"/>
  <c r="K115" i="29" s="1"/>
  <c r="I36" i="68"/>
  <c r="I37" i="68" s="1"/>
  <c r="I39" i="68" s="1"/>
  <c r="H8" i="69" s="1"/>
  <c r="H12" i="69" s="1"/>
  <c r="H21" i="69" s="1"/>
  <c r="J115" i="29" l="1"/>
  <c r="D117" i="29" s="1"/>
  <c r="D33" i="120" s="1"/>
  <c r="D31" i="62"/>
  <c r="D31" i="120"/>
  <c r="D31" i="94"/>
  <c r="S1627" i="95" s="1"/>
  <c r="H47" i="69"/>
  <c r="D86" i="29"/>
  <c r="L83" i="29"/>
  <c r="AC1629" i="95" s="1"/>
  <c r="S1630" i="95" s="1"/>
  <c r="J15" i="29"/>
  <c r="D33" i="94" l="1"/>
  <c r="S1631" i="95" s="1"/>
  <c r="D33" i="62"/>
  <c r="D29" i="120"/>
  <c r="D29" i="62"/>
  <c r="D29" i="94"/>
  <c r="S1626" i="95" s="1"/>
  <c r="C16" i="29"/>
  <c r="L15" i="29"/>
  <c r="F39" i="92" l="1"/>
  <c r="D30" i="94"/>
  <c r="S1628" i="95" s="1"/>
  <c r="D30" i="62"/>
  <c r="D30" i="120"/>
  <c r="D18" i="29"/>
  <c r="E18" i="29" l="1"/>
  <c r="D19" i="29"/>
  <c r="F18" i="29" l="1"/>
  <c r="E19" i="29"/>
  <c r="G18" i="29" l="1"/>
  <c r="F19" i="29"/>
  <c r="H18" i="29" l="1"/>
  <c r="G19" i="29"/>
  <c r="I18" i="29" l="1"/>
  <c r="H19" i="29"/>
  <c r="J18" i="29" l="1"/>
  <c r="J19" i="29" s="1"/>
  <c r="I19" i="29"/>
  <c r="D20" i="29" l="1"/>
  <c r="F23" i="29" s="1"/>
</calcChain>
</file>

<file path=xl/sharedStrings.xml><?xml version="1.0" encoding="utf-8"?>
<sst xmlns="http://schemas.openxmlformats.org/spreadsheetml/2006/main" count="5056" uniqueCount="2103">
  <si>
    <t>Particulars</t>
  </si>
  <si>
    <t>Total</t>
  </si>
  <si>
    <t>Y1</t>
  </si>
  <si>
    <t>Y2</t>
  </si>
  <si>
    <t>Y3</t>
  </si>
  <si>
    <t>Y4</t>
  </si>
  <si>
    <t>Y5</t>
  </si>
  <si>
    <t>Operating Profit</t>
  </si>
  <si>
    <t>Total Receipts</t>
  </si>
  <si>
    <t>Admin Expenses</t>
  </si>
  <si>
    <t>Office Electricity Exp</t>
  </si>
  <si>
    <t>Year 1</t>
  </si>
  <si>
    <t>Year 2</t>
  </si>
  <si>
    <t>Year 3</t>
  </si>
  <si>
    <t>Year 4</t>
  </si>
  <si>
    <t>Year 5</t>
  </si>
  <si>
    <t>Year 6</t>
  </si>
  <si>
    <t>Depreciation</t>
  </si>
  <si>
    <t>Particluars</t>
  </si>
  <si>
    <t>Opening Balance</t>
  </si>
  <si>
    <t xml:space="preserve">Interest </t>
  </si>
  <si>
    <t>Pricipal Repayment</t>
  </si>
  <si>
    <t>EMI</t>
  </si>
  <si>
    <t>Closing Outstanding</t>
  </si>
  <si>
    <t>Interest on Term loan</t>
  </si>
  <si>
    <t>Profit Before Tax</t>
  </si>
  <si>
    <t>Less. Tax</t>
  </si>
  <si>
    <t>Net Profit</t>
  </si>
  <si>
    <t>Profit After Tax</t>
  </si>
  <si>
    <t xml:space="preserve">Particular </t>
  </si>
  <si>
    <t>Profit after Tax &amp; Diivdend</t>
  </si>
  <si>
    <r>
      <t>Add</t>
    </r>
    <r>
      <rPr>
        <sz val="11"/>
        <color indexed="8"/>
        <rFont val="Times New Roman"/>
        <family val="1"/>
      </rPr>
      <t>: Deprication</t>
    </r>
  </si>
  <si>
    <t xml:space="preserve">Net Cash Accrual (A)      </t>
  </si>
  <si>
    <t>Presnt Value of Future Inflows</t>
  </si>
  <si>
    <t>Present Capital Outflow</t>
  </si>
  <si>
    <t>Add: Preliminary expense written off</t>
  </si>
  <si>
    <t>Gross Receipts</t>
  </si>
  <si>
    <t>Total Variable Exp</t>
  </si>
  <si>
    <t>Contribution</t>
  </si>
  <si>
    <t>BEP</t>
  </si>
  <si>
    <t>Total Fixed exp</t>
  </si>
  <si>
    <t>Add: Deprication</t>
  </si>
  <si>
    <t>PV Factor @ 10 %</t>
  </si>
  <si>
    <t>Disc Cash Flow</t>
  </si>
  <si>
    <t>Total Discounted Cash Flows</t>
  </si>
  <si>
    <t>Present Value of Outflow</t>
  </si>
  <si>
    <t>NPV</t>
  </si>
  <si>
    <t>Add. Preliminary exp Written off</t>
  </si>
  <si>
    <t>ASSETS</t>
  </si>
  <si>
    <t>Current Assets</t>
  </si>
  <si>
    <t>1. Inflation is assumed to be 5% anually.</t>
  </si>
  <si>
    <t>Month 1</t>
  </si>
  <si>
    <t>Month 2</t>
  </si>
  <si>
    <t>Month 3</t>
  </si>
  <si>
    <t>Month 4</t>
  </si>
  <si>
    <t>Month 5</t>
  </si>
  <si>
    <t>Month 6</t>
  </si>
  <si>
    <t>Month 7</t>
  </si>
  <si>
    <t>Month 8</t>
  </si>
  <si>
    <t>Month 9</t>
  </si>
  <si>
    <t>Month 10</t>
  </si>
  <si>
    <t>Month 11</t>
  </si>
  <si>
    <t>Month 12</t>
  </si>
  <si>
    <t>Month 13</t>
  </si>
  <si>
    <t>Month 14</t>
  </si>
  <si>
    <t>Month 15</t>
  </si>
  <si>
    <t>Month 16</t>
  </si>
  <si>
    <t>Month 17</t>
  </si>
  <si>
    <t>Month 18</t>
  </si>
  <si>
    <t>Month 19</t>
  </si>
  <si>
    <t>Month 20</t>
  </si>
  <si>
    <t>Month 21</t>
  </si>
  <si>
    <t>Month 22</t>
  </si>
  <si>
    <t>Month 23</t>
  </si>
  <si>
    <t>Month 24</t>
  </si>
  <si>
    <t>Month 25</t>
  </si>
  <si>
    <t>Month 26</t>
  </si>
  <si>
    <t>Month 27</t>
  </si>
  <si>
    <t>Month 28</t>
  </si>
  <si>
    <t>Month 29</t>
  </si>
  <si>
    <t>Month 30</t>
  </si>
  <si>
    <t>Month 31</t>
  </si>
  <si>
    <t>Month 32</t>
  </si>
  <si>
    <t>Month 33</t>
  </si>
  <si>
    <t>Month 34</t>
  </si>
  <si>
    <t>Month 35</t>
  </si>
  <si>
    <t>Month 36</t>
  </si>
  <si>
    <t>Month 37</t>
  </si>
  <si>
    <t>Month 38</t>
  </si>
  <si>
    <t>Month 39</t>
  </si>
  <si>
    <t>Month 40</t>
  </si>
  <si>
    <t>Month 41</t>
  </si>
  <si>
    <t>Month 42</t>
  </si>
  <si>
    <t>Month 43</t>
  </si>
  <si>
    <t>Month 44</t>
  </si>
  <si>
    <t>Month 45</t>
  </si>
  <si>
    <t>Month 46</t>
  </si>
  <si>
    <t>Month 47</t>
  </si>
  <si>
    <t>Month 48</t>
  </si>
  <si>
    <t>Month 49</t>
  </si>
  <si>
    <t>Month 50</t>
  </si>
  <si>
    <t>Month 51</t>
  </si>
  <si>
    <t>Month 52</t>
  </si>
  <si>
    <t>Month 53</t>
  </si>
  <si>
    <t>Month 54</t>
  </si>
  <si>
    <t>Month 55</t>
  </si>
  <si>
    <t>Month 56</t>
  </si>
  <si>
    <t>Month 57</t>
  </si>
  <si>
    <t>Month 58</t>
  </si>
  <si>
    <t>Month 59</t>
  </si>
  <si>
    <t>Month 60</t>
  </si>
  <si>
    <t>Month 61</t>
  </si>
  <si>
    <t>Month 62</t>
  </si>
  <si>
    <t>Month 63</t>
  </si>
  <si>
    <t>Month 64</t>
  </si>
  <si>
    <t>Month 65</t>
  </si>
  <si>
    <t>Month 66</t>
  </si>
  <si>
    <t>Month 67</t>
  </si>
  <si>
    <t>Month 68</t>
  </si>
  <si>
    <t>Month 69</t>
  </si>
  <si>
    <t>Month 70</t>
  </si>
  <si>
    <t>Month 71</t>
  </si>
  <si>
    <t>Month 72</t>
  </si>
  <si>
    <t>Average net profit</t>
  </si>
  <si>
    <t>Total Project cost</t>
  </si>
  <si>
    <t>ROI</t>
  </si>
  <si>
    <t>Revenue</t>
  </si>
  <si>
    <t>Particular</t>
  </si>
  <si>
    <t>Opperating profit</t>
  </si>
  <si>
    <t>Total Expenses</t>
  </si>
  <si>
    <t>Telephone and internet Exp</t>
  </si>
  <si>
    <t xml:space="preserve">         Total Admin Expense</t>
  </si>
  <si>
    <t>Unit</t>
  </si>
  <si>
    <t>Average BEP</t>
  </si>
  <si>
    <t>Own Contribution</t>
  </si>
  <si>
    <t>Operating cost</t>
  </si>
  <si>
    <t>Profit Before Depreciation ,Interest and Tax</t>
  </si>
  <si>
    <t>Amortization</t>
  </si>
  <si>
    <t>Profit Before Interest and Tax</t>
  </si>
  <si>
    <t>Output</t>
  </si>
  <si>
    <t>Dal Mill</t>
  </si>
  <si>
    <t>Husk and Powder</t>
  </si>
  <si>
    <t>Expenses</t>
  </si>
  <si>
    <t>Total Revenue</t>
  </si>
  <si>
    <t>Electricity Charges</t>
  </si>
  <si>
    <t>Sr. No.</t>
  </si>
  <si>
    <t>No. of Unit</t>
  </si>
  <si>
    <t>Rate per unit</t>
  </si>
  <si>
    <t>Land</t>
  </si>
  <si>
    <t>Sq. ft.</t>
  </si>
  <si>
    <t>Lease</t>
  </si>
  <si>
    <t>Description</t>
  </si>
  <si>
    <t>No. Required</t>
  </si>
  <si>
    <t>Rate</t>
  </si>
  <si>
    <t>Total HP</t>
  </si>
  <si>
    <t>Land and Building</t>
  </si>
  <si>
    <t>Machinery and Equipment</t>
  </si>
  <si>
    <t>Working Capital</t>
  </si>
  <si>
    <t>Bank Finance - Long Term Loan</t>
  </si>
  <si>
    <t>Amount (Rs.)</t>
  </si>
  <si>
    <t>Vehical</t>
  </si>
  <si>
    <t>Land Lease</t>
  </si>
  <si>
    <t>Capacity</t>
  </si>
  <si>
    <t>No. of Hours</t>
  </si>
  <si>
    <t>Bengal Gram</t>
  </si>
  <si>
    <t>Red Gram</t>
  </si>
  <si>
    <t>Job Work (50%)</t>
  </si>
  <si>
    <t>Quantity for sale (50%)</t>
  </si>
  <si>
    <t>Soybean</t>
  </si>
  <si>
    <t>Y7</t>
  </si>
  <si>
    <t>Y6</t>
  </si>
  <si>
    <t>No. of Operation Days</t>
  </si>
  <si>
    <t>Subtotal</t>
  </si>
  <si>
    <t>Transportation Cost</t>
  </si>
  <si>
    <t>A</t>
  </si>
  <si>
    <t>B</t>
  </si>
  <si>
    <t>C</t>
  </si>
  <si>
    <t>D</t>
  </si>
  <si>
    <t>Kharif Crops</t>
  </si>
  <si>
    <t>Urea</t>
  </si>
  <si>
    <t>Pesticide</t>
  </si>
  <si>
    <t>DAP</t>
  </si>
  <si>
    <t>Rabi Crop</t>
  </si>
  <si>
    <t>Requirement of Input material</t>
  </si>
  <si>
    <t>Seeds</t>
  </si>
  <si>
    <t>Fertilizers</t>
  </si>
  <si>
    <t>Dupont Coragen</t>
  </si>
  <si>
    <t>Confidor Boyer</t>
  </si>
  <si>
    <t>Machine Operator</t>
  </si>
  <si>
    <t>Accountant</t>
  </si>
  <si>
    <t>Printing &amp; Stationary</t>
  </si>
  <si>
    <t>Misc.expenses</t>
  </si>
  <si>
    <t>Audit and Legal Compliences expenses</t>
  </si>
  <si>
    <t>Support Staff</t>
  </si>
  <si>
    <t>Watchmen</t>
  </si>
  <si>
    <t>As per companies Act</t>
  </si>
  <si>
    <t>As per IT Act</t>
  </si>
  <si>
    <t>Assets</t>
  </si>
  <si>
    <t>Asset Value</t>
  </si>
  <si>
    <t>Accumulated Depreciation</t>
  </si>
  <si>
    <t>Net Fixed Assets</t>
  </si>
  <si>
    <t>Building</t>
  </si>
  <si>
    <t>Plant and Machinary</t>
  </si>
  <si>
    <t>Furniture and Electrification</t>
  </si>
  <si>
    <t>Gross Fixed Asset</t>
  </si>
  <si>
    <t xml:space="preserve">Total Depreciation </t>
  </si>
  <si>
    <t>Accumalated Depreciation</t>
  </si>
  <si>
    <t>Amortization: Straight Line Method (SLM) is used</t>
  </si>
  <si>
    <t>Companies Act</t>
  </si>
  <si>
    <t>IT Act</t>
  </si>
  <si>
    <t>Depreciation: Straight Line Method (SLM) is used</t>
  </si>
  <si>
    <t>SLM</t>
  </si>
  <si>
    <t>WDV</t>
  </si>
  <si>
    <t>IT and Infrastructure</t>
  </si>
  <si>
    <t>Plant and machinery</t>
  </si>
  <si>
    <t>Pre-operative or pre-incubation</t>
  </si>
  <si>
    <t>Month 73</t>
  </si>
  <si>
    <t>Month 74</t>
  </si>
  <si>
    <t>Month 75</t>
  </si>
  <si>
    <t>Month 76</t>
  </si>
  <si>
    <t>Month 77</t>
  </si>
  <si>
    <t>Month 78</t>
  </si>
  <si>
    <t>Month 79</t>
  </si>
  <si>
    <t>Month 80</t>
  </si>
  <si>
    <t>Month 81</t>
  </si>
  <si>
    <t>Month 82</t>
  </si>
  <si>
    <t>Month 83</t>
  </si>
  <si>
    <t>Month 84</t>
  </si>
  <si>
    <t>EBT</t>
  </si>
  <si>
    <t>Add Depreciation as per companies Act</t>
  </si>
  <si>
    <t>Less Depreciation as per IT Act</t>
  </si>
  <si>
    <t>Provision of Taxes</t>
  </si>
  <si>
    <t xml:space="preserve">Sr. </t>
  </si>
  <si>
    <t>Equity/ Share capital</t>
  </si>
  <si>
    <t>Long Term Loan</t>
  </si>
  <si>
    <t>Short Term Loan</t>
  </si>
  <si>
    <t>Sub Total (A)</t>
  </si>
  <si>
    <t>Cash Outflow (Rs.)</t>
  </si>
  <si>
    <t>Capital Expenditure</t>
  </si>
  <si>
    <t>a</t>
  </si>
  <si>
    <t>b</t>
  </si>
  <si>
    <t>Operational Expenditure</t>
  </si>
  <si>
    <t>LTL - Principal</t>
  </si>
  <si>
    <t>LTL - Interest</t>
  </si>
  <si>
    <t>STL - Principal</t>
  </si>
  <si>
    <t>STL - Interest</t>
  </si>
  <si>
    <t>Tax</t>
  </si>
  <si>
    <t>Sub Total (B)</t>
  </si>
  <si>
    <t>Net Cash Flow (A-B)</t>
  </si>
  <si>
    <t>Opening Cash and Bank</t>
  </si>
  <si>
    <t>Cumulative Cash Balance</t>
  </si>
  <si>
    <t>Cash and Bank Balance</t>
  </si>
  <si>
    <t>Accounts Receivables</t>
  </si>
  <si>
    <t>Total Current Assets</t>
  </si>
  <si>
    <t>Gross Fixed Assets</t>
  </si>
  <si>
    <t>Less: Depriciation</t>
  </si>
  <si>
    <t>Preliminary Expenses</t>
  </si>
  <si>
    <t>TOTAL ASSETS</t>
  </si>
  <si>
    <t>LIABILITIES &amp; SHAREHOLDERS EQUITY</t>
  </si>
  <si>
    <t>CURRENT LIABILITIES</t>
  </si>
  <si>
    <t>Short Term Debt (Working capital loan)</t>
  </si>
  <si>
    <t>Accounts Payable &amp; Accrued Expenses</t>
  </si>
  <si>
    <t>Other Current Liabilities</t>
  </si>
  <si>
    <t>Total Curent Liabilities</t>
  </si>
  <si>
    <t xml:space="preserve">Secured Long Term Debt </t>
  </si>
  <si>
    <t>Differed Tax Liabilities</t>
  </si>
  <si>
    <t>TOTAL LIABILITIES</t>
  </si>
  <si>
    <t>Share capital</t>
  </si>
  <si>
    <t>Reserves and Surplus</t>
  </si>
  <si>
    <t>Add: Opening Balance (P/L Account)</t>
  </si>
  <si>
    <t>Profit &amp; Loss) During the Year</t>
  </si>
  <si>
    <t>Appropriation - Dividend</t>
  </si>
  <si>
    <t>Total Reserves</t>
  </si>
  <si>
    <t xml:space="preserve">TOTAL EQUITY </t>
  </si>
  <si>
    <t>TOTAL LIABILITIES &amp; EQUITY</t>
  </si>
  <si>
    <t>CONTROL TICKER</t>
  </si>
  <si>
    <t>(=Liability - Asset)</t>
  </si>
  <si>
    <t>c</t>
  </si>
  <si>
    <t>Vehicle</t>
  </si>
  <si>
    <t>d</t>
  </si>
  <si>
    <t>Premilinary Expenses</t>
  </si>
  <si>
    <t>Year 7</t>
  </si>
  <si>
    <t>IRR</t>
  </si>
  <si>
    <t>Initial Investment</t>
  </si>
  <si>
    <t>Cashflow - Initial Investment</t>
  </si>
  <si>
    <t>Payback period (in years) - Project</t>
  </si>
  <si>
    <t>Total Annual EMI</t>
  </si>
  <si>
    <t>Output (KG)</t>
  </si>
  <si>
    <t>Seeds (Rate/KG)</t>
  </si>
  <si>
    <t>Fertilizer(Rate/KG)</t>
  </si>
  <si>
    <t>Unit Cost</t>
  </si>
  <si>
    <t>Taxable Income</t>
  </si>
  <si>
    <t>Year</t>
  </si>
  <si>
    <t>Loading &amp; Unloading</t>
  </si>
  <si>
    <t>Reivestment</t>
  </si>
  <si>
    <t>Dal Mill Unit</t>
  </si>
  <si>
    <t>Job Work Charges</t>
  </si>
  <si>
    <t>Loading/Unloading Charges</t>
  </si>
  <si>
    <t>packaging Exp</t>
  </si>
  <si>
    <t>Transportation Charges</t>
  </si>
  <si>
    <t>Total expenses</t>
  </si>
  <si>
    <t>MT</t>
  </si>
  <si>
    <t>Warehouse</t>
  </si>
  <si>
    <t>No.of Month</t>
  </si>
  <si>
    <t>Capacity Utilisation</t>
  </si>
  <si>
    <t>Dunnage</t>
  </si>
  <si>
    <t>Fumigation</t>
  </si>
  <si>
    <t>Eletricity</t>
  </si>
  <si>
    <t>Total Hours in a year</t>
  </si>
  <si>
    <t>Variable Expenses</t>
  </si>
  <si>
    <t>Diesel</t>
  </si>
  <si>
    <t>Daily Labour</t>
  </si>
  <si>
    <t>Fixed Cost</t>
  </si>
  <si>
    <t>Driver</t>
  </si>
  <si>
    <t>Variable Cost</t>
  </si>
  <si>
    <t>Daily Lobour</t>
  </si>
  <si>
    <t>Operating Income</t>
  </si>
  <si>
    <t>Operaing Income</t>
  </si>
  <si>
    <t>Black Gram</t>
  </si>
  <si>
    <t>Green Gram</t>
  </si>
  <si>
    <t>Pulses</t>
  </si>
  <si>
    <t xml:space="preserve">Black Gram </t>
  </si>
  <si>
    <t>Red gram</t>
  </si>
  <si>
    <t>Black gram</t>
  </si>
  <si>
    <t xml:space="preserve">Daily Labour </t>
  </si>
  <si>
    <t>Total Variable Cost</t>
  </si>
  <si>
    <t>Total Quantity Stored per Annum</t>
  </si>
  <si>
    <t>Warehouse Manager</t>
  </si>
  <si>
    <t>Storage Charges per MT per Month</t>
  </si>
  <si>
    <t>Total Fixed Cost</t>
  </si>
  <si>
    <t>Rent</t>
  </si>
  <si>
    <t>Agri Input Center Manager</t>
  </si>
  <si>
    <t>Electricty Charges</t>
  </si>
  <si>
    <t xml:space="preserve"> Manager</t>
  </si>
  <si>
    <t>Total Cost</t>
  </si>
  <si>
    <t>IT Infrastracture</t>
  </si>
  <si>
    <t>Furniture &amp; Fixture</t>
  </si>
  <si>
    <t xml:space="preserve">Govt. Grant under SMART Project </t>
  </si>
  <si>
    <t>It Infrastructure</t>
  </si>
  <si>
    <t>e</t>
  </si>
  <si>
    <t>f</t>
  </si>
  <si>
    <t>Y0</t>
  </si>
  <si>
    <t>Debt Service Coverage  Ratio (DCSR)</t>
  </si>
  <si>
    <t xml:space="preserve">Avergae DSCR </t>
  </si>
  <si>
    <t>Net Operating Income</t>
  </si>
  <si>
    <t>Years</t>
  </si>
  <si>
    <t>Total Value</t>
  </si>
  <si>
    <t>Add: Opening Stock</t>
  </si>
  <si>
    <t>Less: Closing Stock</t>
  </si>
  <si>
    <t>Purchase Price</t>
  </si>
  <si>
    <t>Initial Investment/ Net Cash Accrual</t>
  </si>
  <si>
    <t>Closing Stock</t>
  </si>
  <si>
    <t>Accounts Receivables (Debtors)</t>
  </si>
  <si>
    <t>Accounts Payable &amp; Accrued Expenses (Creditors)</t>
  </si>
  <si>
    <t>Quantity Variation (+5%)</t>
  </si>
  <si>
    <t>Total Income</t>
  </si>
  <si>
    <t>Expenditure</t>
  </si>
  <si>
    <t>Fixed Cost (Excl. of Depreciation, Amortization and Interest)</t>
  </si>
  <si>
    <t>Total Operational Expenses</t>
  </si>
  <si>
    <t>Net Income</t>
  </si>
  <si>
    <t>Cost Variation (+5%)</t>
  </si>
  <si>
    <t>Quantity Variation (-5%)</t>
  </si>
  <si>
    <t>Cost Variation (-5%)</t>
  </si>
  <si>
    <t>50 Kg</t>
  </si>
  <si>
    <t>Kg</t>
  </si>
  <si>
    <t>Quintals</t>
  </si>
  <si>
    <t>Oil (Liters)</t>
  </si>
  <si>
    <t>Custom Hiring</t>
  </si>
  <si>
    <t>Total Revnue</t>
  </si>
  <si>
    <t>Duration (In days)</t>
  </si>
  <si>
    <t>Opening Stock</t>
  </si>
  <si>
    <t>Agri Input</t>
  </si>
  <si>
    <t>Purachse Price</t>
  </si>
  <si>
    <t>Total Cost of Production</t>
  </si>
  <si>
    <t>Quantity Variance</t>
  </si>
  <si>
    <t>Cost Variance</t>
  </si>
  <si>
    <t>Amount  (Rs.)</t>
  </si>
  <si>
    <t>IT &amp; It Infrastracture</t>
  </si>
  <si>
    <t>Furniture and Fixture</t>
  </si>
  <si>
    <t>Profit after Tax &amp; Dividend</t>
  </si>
  <si>
    <t>Break Even Point (BEP)</t>
  </si>
  <si>
    <t>Project Viable</t>
  </si>
  <si>
    <t>Avg. Return on Capital Employed Average (ROCE)</t>
  </si>
  <si>
    <t>Internal Rate of Return (IRR)</t>
  </si>
  <si>
    <t>Net present value (at a discount rate of 10 per cent)</t>
  </si>
  <si>
    <t>Positive</t>
  </si>
  <si>
    <t>Payback period</t>
  </si>
  <si>
    <t>Debt Service Coverage Ratio (DSCR)</t>
  </si>
  <si>
    <t>NPV is high and positive at a conservative project life of 7 years</t>
  </si>
  <si>
    <t xml:space="preserve">           &gt;2</t>
  </si>
  <si>
    <t>No.of Unit</t>
  </si>
  <si>
    <t>No.</t>
  </si>
  <si>
    <t>Months</t>
  </si>
  <si>
    <t>Lumsum</t>
  </si>
  <si>
    <t>Maximum Tax rate</t>
  </si>
  <si>
    <t>Season</t>
  </si>
  <si>
    <t>Crop</t>
  </si>
  <si>
    <t>Total Production (In Quintals)</t>
  </si>
  <si>
    <t>Marketable Surplus ( In Quintals)</t>
  </si>
  <si>
    <t>Kharif</t>
  </si>
  <si>
    <t>Maize</t>
  </si>
  <si>
    <t>Rabbi</t>
  </si>
  <si>
    <t>Wheat</t>
  </si>
  <si>
    <t>Bengal Gram/Channa</t>
  </si>
  <si>
    <t>Jawar</t>
  </si>
  <si>
    <t xml:space="preserve">Note- Please note the crops/fruits/vegetable grown in the FPC catchement which has marketable Surplus </t>
  </si>
  <si>
    <t>Need to change/Place Values Manually</t>
  </si>
  <si>
    <t>Need to change figures subject to</t>
  </si>
  <si>
    <t>SSP</t>
  </si>
  <si>
    <t xml:space="preserve">Present Value Equivalent </t>
  </si>
  <si>
    <t>Projected Consolidated Profit and Loss account is to give a projection of how much money you will bring in by selling products or services and how much profit you will make from these sales.</t>
  </si>
  <si>
    <t>A projected balance sheet, also referred to as pro forma balance sheet, lists specific account balances on a business' assets, liabilities and equity for a specified future time. Using a projected balance sheet, financial personnel can present lenders and investors with detailed financial information about planned future asset expansion, making it easier to persuade capital providers to supply the required financing.</t>
  </si>
  <si>
    <t>A projected cash flow statement is used to evaluate cash inflows and outflows to deter. mine when, how much, and for how long cash deficits or surpluses will exist for a farm business during an upcoming time period. </t>
  </si>
  <si>
    <t>This Sheet provide details of land and various construction, including area, rate per unit and total amount</t>
  </si>
  <si>
    <t>This Sheet provide details of Plant &amp; Machinary, including Capacity, rate per machaine, Power Consuption and total amount</t>
  </si>
  <si>
    <t>This Sheet provide details of furniture and fixture, no.of Quantity, rate per unit and total amount</t>
  </si>
  <si>
    <t>Working capital, also known as net working capital (NWC), is the difference between a company’s current assets, such as accounts receivable (customers’ unpaid bills), and inventories of raw materials and finished goods, and its current liabilities, such as accounts payable.This sheet provide requirement of working capital for running business</t>
  </si>
  <si>
    <t>pre-operative</t>
  </si>
  <si>
    <t>Total Project Costs means  the costs incurred or to be incurred by a FPC in connection with or incidental to the Construction and acquisition of assets including preoprtaive expenditure , design, construction and Working Capital</t>
  </si>
  <si>
    <t>This sheet provide details of how total project cost will raised</t>
  </si>
  <si>
    <t>This Sheet Provide details of loan repayment schedule. The borrower is able to check how much of the monthly EMI is being allocated towards the repayment of the principal outstanding and interest respectively, depending on the rate of interest and tenure of the loan.</t>
  </si>
  <si>
    <t>Closing Stock is an amount of unsold stock lying in your business on a given date. In simple words, it's the inventory which is still in your business waiting to be sold for a given period. The closing stock can be in various forms such as raw materials, in-process goods (WIP) or finished goods</t>
  </si>
  <si>
    <t xml:space="preserve">This sheet provide details of sale, expenses and operating profit of agri input activity </t>
  </si>
  <si>
    <t xml:space="preserve">This sheet provide details of sale, expenses and operating profit of custom hiring activity </t>
  </si>
  <si>
    <t>This sheet provide details capacity utilization of machines and also sale, expenses and operating profit of trading activity</t>
  </si>
  <si>
    <t>This sheet provide details capacity utilization of machines and also sale, expenses and operating profit of Dal Mill activity</t>
  </si>
  <si>
    <t>This Sheet refer for provision of tax calculation</t>
  </si>
  <si>
    <t>The internal rate of return (IRR) is a ratio used in financial analysis to estimate the profitability of potential investments. IRR is a discount rate that makes the net present value (NPV) of all cash flows equal to zero in a discounted cash flow analysis.</t>
  </si>
  <si>
    <t>Break-even point (BEP) is a term in accounting that refers to the situation where a company’s revenues and expenses were equal within a specific period. It means that there were no net profits or no net losses for the company The main purpose of break-even analysis is to determine the minimum output that must be exceeded for a business to profit.</t>
  </si>
  <si>
    <t>Net present value is the present value of the cash flows at the required rate of return of your project compared to your initial investment. If the NPV of a project or investment is positive, it means that the discounted present value of all future cash flows related to that project or investment will be positive.</t>
  </si>
  <si>
    <t>Return on investment (ROI) is a performance measure used to evaluate the efficiency or profitability of an investment</t>
  </si>
  <si>
    <t>The payback period refers to the amount of time it takes to recover the cost of an investment </t>
  </si>
  <si>
    <t>the debt-service coverage ratio (DSCR) is a measurement of a firm's available cash flow to pay current debt obligations. The DSCR shows investors whether a company has enough income to pay its debts.</t>
  </si>
  <si>
    <t>Custom Hiring Equipment</t>
  </si>
  <si>
    <t>Working Days</t>
  </si>
  <si>
    <t>No.of Hours in day</t>
  </si>
  <si>
    <t>No.of Equipment</t>
  </si>
  <si>
    <t>Required Hrs/Acre</t>
  </si>
  <si>
    <t xml:space="preserve">Total Acres </t>
  </si>
  <si>
    <t>No.of Liters Diesel Required/acre</t>
  </si>
  <si>
    <t>Service Charges/Acre (Amount (Rs.)</t>
  </si>
  <si>
    <t>Labour Requirement</t>
  </si>
  <si>
    <t xml:space="preserve">Total no.of Liters required </t>
  </si>
  <si>
    <t>Litres</t>
  </si>
  <si>
    <t>Total No. of Days Labour Reuired</t>
  </si>
  <si>
    <t>No. of Days</t>
  </si>
  <si>
    <t xml:space="preserve">Custom Hiring Charges </t>
  </si>
  <si>
    <t>This Sheet provide details of vehicles, no.of vehicle, rate per vehicle and total amount</t>
  </si>
  <si>
    <t>Preliminary expenses are considered as prior expenses before the beginning of business or Projects</t>
  </si>
  <si>
    <t>Packaging (In Kg)</t>
  </si>
  <si>
    <t>Cultivation In (%)</t>
  </si>
  <si>
    <t>No.of Operation Days</t>
  </si>
  <si>
    <t>Quinatal/Hour</t>
  </si>
  <si>
    <t>Trading</t>
  </si>
  <si>
    <t>Process</t>
  </si>
  <si>
    <t>total</t>
  </si>
  <si>
    <t>%</t>
  </si>
  <si>
    <t>Input</t>
  </si>
  <si>
    <t>Total Land under Cultivaion ( In Acres)</t>
  </si>
  <si>
    <t>Yield/Acres  (In Quintals)</t>
  </si>
  <si>
    <t>Transporation Cost/100 Kg</t>
  </si>
  <si>
    <t>Total Quantity to be Processed</t>
  </si>
  <si>
    <t>Dal (80%)</t>
  </si>
  <si>
    <t>Summer</t>
  </si>
  <si>
    <t xml:space="preserve">Grant (%) </t>
  </si>
  <si>
    <t>Grant Amount (Rs.)</t>
  </si>
  <si>
    <t>Loan Amount (Rs)</t>
  </si>
  <si>
    <t>Interest rate /PA</t>
  </si>
  <si>
    <t>Loan Tenure in years</t>
  </si>
  <si>
    <t>Moratorium Period ( In Months)</t>
  </si>
  <si>
    <t>Qtls P Hour</t>
  </si>
  <si>
    <t>Quanity for Processing and Trading for PC</t>
  </si>
  <si>
    <t>Bajra</t>
  </si>
  <si>
    <t>Grains</t>
  </si>
  <si>
    <t>Fruit and Vegetables</t>
  </si>
  <si>
    <t>Tentative Wastage Percentage</t>
  </si>
  <si>
    <t>Commodity</t>
  </si>
  <si>
    <t>Percentage</t>
  </si>
  <si>
    <t>Green Gram/ Moong</t>
  </si>
  <si>
    <t>Black Gram/Udid</t>
  </si>
  <si>
    <t>Paddy/Rice</t>
  </si>
  <si>
    <t>Red Gram/Tur</t>
  </si>
  <si>
    <t>Sunflower</t>
  </si>
  <si>
    <t>Safflower</t>
  </si>
  <si>
    <t>Groundnut</t>
  </si>
  <si>
    <t>Area Under Summer Cultivation ( In Acres)</t>
  </si>
  <si>
    <t>Area Under Rabbi Cultivation ( In Acres)</t>
  </si>
  <si>
    <t>Onion</t>
  </si>
  <si>
    <t>Tomato</t>
  </si>
  <si>
    <t>Okra</t>
  </si>
  <si>
    <t>Chilli</t>
  </si>
  <si>
    <t>Brinjal</t>
  </si>
  <si>
    <t>Potato</t>
  </si>
  <si>
    <t>Pomegranate</t>
  </si>
  <si>
    <t>Custard Apple</t>
  </si>
  <si>
    <t>Guava</t>
  </si>
  <si>
    <t>Citrus</t>
  </si>
  <si>
    <t>Total No.of Members  Cultivating F &amp; V</t>
  </si>
  <si>
    <t>Total No.of Non-members  Cultivating F &amp; V</t>
  </si>
  <si>
    <t>Average Land Holding per member(Acres)</t>
  </si>
  <si>
    <t>Total Cultivated Land Under F &amp; V (Acres)</t>
  </si>
  <si>
    <t>Total No.of Members Cultivating Grain Crops</t>
  </si>
  <si>
    <t>Total No.of Non- members Cultivating Grain Crops</t>
  </si>
  <si>
    <t>Average Land Holding  per Member (Acres)</t>
  </si>
  <si>
    <t>Fruit  &amp; Vegetables Crop Production Details</t>
  </si>
  <si>
    <t>Area Under Vegetables in Rabbi Season ( In Acres)</t>
  </si>
  <si>
    <t>Area Under Vegetables in Summer Season ( In Acres)</t>
  </si>
  <si>
    <t>Area Under Fruit Crops ( In Acres)</t>
  </si>
  <si>
    <t>Total Cultivated Land under grain Crop(Acres)</t>
  </si>
  <si>
    <t>Faclitiy 5 - Agri Input Centre</t>
  </si>
  <si>
    <t>Cumuilative Profit</t>
  </si>
  <si>
    <t>Loan Repayment</t>
  </si>
  <si>
    <t>Preliminary &amp; Pre- operative Expenses</t>
  </si>
  <si>
    <t>Smart Grant -in-Aid</t>
  </si>
  <si>
    <t>Total F &amp; V Quantity to be Processed</t>
  </si>
  <si>
    <t>Total Grains Quantity to be Processed</t>
  </si>
  <si>
    <t xml:space="preserve">Job Work for Grains </t>
  </si>
  <si>
    <t>Quanity for trading of Grains</t>
  </si>
  <si>
    <t>No.of Working Days</t>
  </si>
  <si>
    <t xml:space="preserve">Horticulture Processing </t>
  </si>
  <si>
    <t>Pomegranate Juice</t>
  </si>
  <si>
    <t>Pomegranate Powder</t>
  </si>
  <si>
    <t>Pomegranate Arils</t>
  </si>
  <si>
    <t>Quiantals</t>
  </si>
  <si>
    <t>Pomegranate Arils 1 Kg</t>
  </si>
  <si>
    <t>Pomegranate Juice 1 Ltrs</t>
  </si>
  <si>
    <t>Pomegranate Peel Powder1 Kg</t>
  </si>
  <si>
    <t>Processing Unit - Horti Commodity</t>
  </si>
  <si>
    <t>Grain Processing - Dal Mill</t>
  </si>
  <si>
    <t>F &amp; V Processing - Pomegrantes</t>
  </si>
  <si>
    <t>Cost Of Production/Quintals</t>
  </si>
  <si>
    <t>Assumption:</t>
  </si>
  <si>
    <t>Rate of Interest assumed as 12%</t>
  </si>
  <si>
    <t>Moratorium Period 6 Months</t>
  </si>
  <si>
    <t>Closing stock of each facility is 5%</t>
  </si>
  <si>
    <t>Asumption:</t>
  </si>
  <si>
    <t>Company has to give credit for sale at 14 Days</t>
  </si>
  <si>
    <t>Company will receive credit from suppliers for 7 days</t>
  </si>
  <si>
    <t>25 % of Working Capital will be financed by the company and balance 75% from bank finance at 12% rate of interest</t>
  </si>
  <si>
    <t>Sensitivity analysis is a financial model that determines how target variables are affected based on changes in Quantity or cost variance known as input variables.Here it is assume 5% (+,-) while calculating sensitivity analysis</t>
  </si>
  <si>
    <t>Assumptions:</t>
  </si>
  <si>
    <t>35% of total produce of the cluster will be trade in first year and it will increase everyear year by 5 %</t>
  </si>
  <si>
    <t>5% of total produce of the cluster will be Process in first year and it will increase everyear year by 5 %</t>
  </si>
  <si>
    <t xml:space="preserve">65% of total land of members is considered for Agri input service centre business </t>
  </si>
  <si>
    <t>Revenue and cost is related to this facility only</t>
  </si>
  <si>
    <t>Common expenditure such as admin, depreciation and amortization not considered.</t>
  </si>
  <si>
    <t>Area under crop (In Acres)</t>
  </si>
  <si>
    <t>1.1 Total Project Cost</t>
  </si>
  <si>
    <t>1.2 Means of Finance</t>
  </si>
  <si>
    <t>1.3 Financial Indicators</t>
  </si>
  <si>
    <t>3.1 Schedule of General Admin Expenses</t>
  </si>
  <si>
    <t>3.2 Depreciation</t>
  </si>
  <si>
    <t>3.3 Amortization Schedule</t>
  </si>
  <si>
    <t>3.4 Tax Schedule</t>
  </si>
  <si>
    <t xml:space="preserve">4.1 Repayment Schedule </t>
  </si>
  <si>
    <t>6.1 Consolidated Profit and loss account for the Project</t>
  </si>
  <si>
    <t>7.1 Balancesheet  for the Project</t>
  </si>
  <si>
    <t>8.1 Cash Flow Statement for the Project</t>
  </si>
  <si>
    <t>9.1 Internal Rate of Return</t>
  </si>
  <si>
    <t>9.2 Break even Point</t>
  </si>
  <si>
    <t>9.3 Net Presnt Value</t>
  </si>
  <si>
    <t>9.4 Return On Investments</t>
  </si>
  <si>
    <t>9.5 Payback Period (In years) - Project</t>
  </si>
  <si>
    <t>9.6 Debt Service Covergae Ratio (DSCR)</t>
  </si>
  <si>
    <t>9.7 Sensitivity Analysis</t>
  </si>
  <si>
    <t>10.1 Details of members and non- members</t>
  </si>
  <si>
    <t xml:space="preserve">10.2 Statement Showing Area,production,productivity and marketable Surplus of Crops </t>
  </si>
  <si>
    <t>11.1 Details of members and non- members</t>
  </si>
  <si>
    <t xml:space="preserve">11.2 Statement Showing Area,production,productivity and marketable Surplus of Crops </t>
  </si>
  <si>
    <t>14.1 Capacity Utilization</t>
  </si>
  <si>
    <t>30% of total produce of the cluster will be trade in first year and it will increase everyear year by 5 %</t>
  </si>
  <si>
    <t>10% of total produce of the cluster will be Process in first year and it will increase everyear year by 5 %</t>
  </si>
  <si>
    <t>Inflation is assumed to be 5% anually.</t>
  </si>
  <si>
    <t>Other Current Assets</t>
  </si>
  <si>
    <t>Grains Crops and  Production Details</t>
  </si>
  <si>
    <t>Financial ratio</t>
  </si>
  <si>
    <t>Estimated</t>
  </si>
  <si>
    <t>Result</t>
  </si>
  <si>
    <t>Permissible limit</t>
  </si>
  <si>
    <t xml:space="preserve">BEP shall be less than 60% </t>
  </si>
  <si>
    <t xml:space="preserve">RoCE  for the project shall be more than 20% </t>
  </si>
  <si>
    <t xml:space="preserve">The project internal rate of return shall be more than 12% </t>
  </si>
  <si>
    <t xml:space="preserve">With a discount rate of 10% and a span of 7 operational years, the NPV should be positive </t>
  </si>
  <si>
    <t xml:space="preserve">The Pack Back Period (Project/ Equity) shall be less than 7 years </t>
  </si>
  <si>
    <t>DSCR shall be more than 2 for better performing project.</t>
  </si>
  <si>
    <t>Steps</t>
  </si>
  <si>
    <t>Remark</t>
  </si>
  <si>
    <t xml:space="preserve">1.0 About the calculator </t>
  </si>
  <si>
    <t xml:space="preserve">2.0 Features </t>
  </si>
  <si>
    <t>Colour code</t>
  </si>
  <si>
    <t xml:space="preserve">CAPEX Details </t>
  </si>
  <si>
    <t>Other expenditure and taxes</t>
  </si>
  <si>
    <t xml:space="preserve">Closing stock and working capital </t>
  </si>
  <si>
    <t>Sheet No</t>
  </si>
  <si>
    <t>Profit and Loss Statement</t>
  </si>
  <si>
    <t>Cash Flow Statement</t>
  </si>
  <si>
    <t>Balance Sheet</t>
  </si>
  <si>
    <t xml:space="preserve">Facility-1 / Business activity -Trading </t>
  </si>
  <si>
    <t>Facility-3 Business activity -Warehouse</t>
  </si>
  <si>
    <t xml:space="preserve">Facility-4 Business activity -Custom hiring </t>
  </si>
  <si>
    <t>Facility-5 Business activity - Agri. Input</t>
  </si>
  <si>
    <t xml:space="preserve">Facility-2 / Business activity - Processing (Grain, pulses, oilseed) </t>
  </si>
  <si>
    <t>Facility-6 Business activity -Processing  (Horti. Produce)</t>
  </si>
  <si>
    <t>Step-1</t>
  </si>
  <si>
    <t>Step-2</t>
  </si>
  <si>
    <t>Step-3</t>
  </si>
  <si>
    <t>Step-4</t>
  </si>
  <si>
    <t>Step-5</t>
  </si>
  <si>
    <t>Step-6</t>
  </si>
  <si>
    <t>Step-7</t>
  </si>
  <si>
    <t>Grain production details &amp; or F &amp; V production details  (Marketable surplus)</t>
  </si>
  <si>
    <t>Financial indicators  (IRR, BEP,NPV, ROI, Pay back period, DSCR, sensitivity analysis )</t>
  </si>
  <si>
    <t>Transport vehical  (Refer van and other)</t>
  </si>
  <si>
    <t xml:space="preserve">4.0 Colour codes used </t>
  </si>
  <si>
    <t xml:space="preserve">5.0 Guidance  note for using calculator </t>
  </si>
  <si>
    <t xml:space="preserve">Generate automatically </t>
  </si>
  <si>
    <t xml:space="preserve">Draft Business Plan Financial Calculator </t>
  </si>
  <si>
    <t>Project cost and Means of finance with financial indicators</t>
  </si>
  <si>
    <t>Consumption in (%)</t>
  </si>
  <si>
    <t>Bank Loan (% )</t>
  </si>
  <si>
    <t>Note for users</t>
  </si>
  <si>
    <r>
      <t xml:space="preserve">The business plan financial calculator will be the tool to generate the financial projection of the business plan based on the certain data inputs. </t>
    </r>
    <r>
      <rPr>
        <b/>
        <sz val="11"/>
        <color theme="1"/>
        <rFont val="Calibri"/>
        <family val="2"/>
        <scheme val="minor"/>
      </rPr>
      <t xml:space="preserve">It will be the tool which can be easily used by any professional who understand the basic accounting. The business plan financial calculator will generate following statements automatically based on certain data inputs:
</t>
    </r>
    <r>
      <rPr>
        <sz val="11"/>
        <color theme="1"/>
        <rFont val="Calibri"/>
        <family val="2"/>
        <scheme val="minor"/>
      </rPr>
      <t>1. Profit and Loss Statement
2. Cash Flow Statement
3. Balance Sheet
4</t>
    </r>
    <r>
      <rPr>
        <sz val="11"/>
        <color rgb="FFC00000"/>
        <rFont val="Calibri"/>
        <family val="2"/>
        <scheme val="minor"/>
      </rPr>
      <t xml:space="preserve">. </t>
    </r>
    <r>
      <rPr>
        <sz val="11"/>
        <rFont val="Calibri"/>
        <family val="2"/>
        <scheme val="minor"/>
      </rPr>
      <t xml:space="preserve">Depreciation, amortization and tax calculation </t>
    </r>
    <r>
      <rPr>
        <sz val="11"/>
        <color theme="1"/>
        <rFont val="Calibri"/>
        <family val="2"/>
        <scheme val="minor"/>
      </rPr>
      <t xml:space="preserve">
It will also auto calculate the following financial ratios to understand the viability of the business plan / Full Project Proposal:
1. Break Even Point
2. Internal Rate of Return
3. Net Present Value
4. Return on Capital Employed
5. Project Payback Period
6. DSCR
7.Sensitivity analysis </t>
    </r>
    <r>
      <rPr>
        <b/>
        <sz val="11"/>
        <color theme="1"/>
        <rFont val="Calibri"/>
        <family val="2"/>
        <scheme val="minor"/>
      </rPr>
      <t xml:space="preserve">
The above ratios will help  decision makers for approving the business plan / Full Project Report.</t>
    </r>
  </si>
  <si>
    <t xml:space="preserve">3.0 Preparatory work </t>
  </si>
  <si>
    <t xml:space="preserve">Sheet name </t>
  </si>
  <si>
    <t xml:space="preserve"> Sheet in which need to enter data</t>
  </si>
  <si>
    <t>Sheet No. 10 for grain and 11 for F &amp; V</t>
  </si>
  <si>
    <t>Sheet No. 2</t>
  </si>
  <si>
    <t>Please add bank loan per cent if applicable other wise put zero</t>
  </si>
  <si>
    <t>Sheet No. 1</t>
  </si>
  <si>
    <t xml:space="preserve">Please fill necessary details in yellow cells  for calculating revenue and expenditure of identified business activities only. </t>
  </si>
  <si>
    <t>Sheet No. 12</t>
  </si>
  <si>
    <t>Sheet No. 13</t>
  </si>
  <si>
    <t>Sheet No. 14</t>
  </si>
  <si>
    <t>Sheet No. 15</t>
  </si>
  <si>
    <t>Sheet No. 16</t>
  </si>
  <si>
    <t>Sheet No. 17</t>
  </si>
  <si>
    <t>Please add staff salary and other details in Yellow cell (in 3.1 table only)</t>
  </si>
  <si>
    <t xml:space="preserve">TL repayment schedule </t>
  </si>
  <si>
    <t>Please add interest rate, tenure and Moratorium Period ( In Month) in green cells</t>
  </si>
  <si>
    <t>Sheet No. 4</t>
  </si>
  <si>
    <t>Please add necessary details in yellow and green cells</t>
  </si>
  <si>
    <t>Sheet No. 5</t>
  </si>
  <si>
    <t xml:space="preserve">Auto generating sheets  (No need to enter any data) </t>
  </si>
  <si>
    <t>B1</t>
  </si>
  <si>
    <t>Sheet No. 6</t>
  </si>
  <si>
    <t>B2</t>
  </si>
  <si>
    <t>Sheet No. 7</t>
  </si>
  <si>
    <t>B3</t>
  </si>
  <si>
    <t>Sheet No. 8</t>
  </si>
  <si>
    <t>B4</t>
  </si>
  <si>
    <t>Sheet No.9</t>
  </si>
  <si>
    <t>B5</t>
  </si>
  <si>
    <t xml:space="preserve">Depreciation, amortization and tax calculation </t>
  </si>
  <si>
    <t>Step-8</t>
  </si>
  <si>
    <t xml:space="preserve">Copy relevant tables in word file of FPP </t>
  </si>
  <si>
    <t xml:space="preserve">Please fill data in yellow colour cells i.e. members no, non-members , average area etc. </t>
  </si>
  <si>
    <t xml:space="preserve">Kindly fill yellow cells by using rates mentioned in estimates of civil structures and quotation's of machineries and equipment's </t>
  </si>
  <si>
    <t xml:space="preserve">Business activity wise revenue, expenditure  and profit calculation </t>
  </si>
  <si>
    <t xml:space="preserve">1.0 Please collect basic data of targeted commodities in the cluster accurately (area, productivity and consumption at HH level ) 
2.0 Finalize Business activity in consultation with CBO members  and officials / experts.
3.0 Accordingly, please add  CAPEX details i.e. related to building, machinery and other infrastructure properly. 
4.0 In CAPEX SHEET, please refer area and rates mentioned in estimates of civil structures prepared by engineer whereas quotation's in case of  machinery and other equipment or material. 
5.0 Please write down assumptions clearly for each business activity  (example- produce  aggregation and bulk marketing  in  the form of % in Y-1, Y-2.......... ) 
</t>
  </si>
  <si>
    <r>
      <t>1.0 It helps in preparing financial projections for both type of sub-projects.i.e. Grain and Frutis &amp; Vegetables.  
2.0 It can be easily used by any person / professional who understand the basic accounting.
3.0 Assist planners to map marketable surplus of key commodities quickly.
3.0 This tool will generate P  &amp; L , Cash flow statement and balance sheet automatically.
4.0 The calculator helps to prepare all  categories of business plans envisaged in SMART Project viz. PPs, MAPs, CIIs, Warehousing related)
5.0 It will also calculate all ratios automatically</t>
    </r>
    <r>
      <rPr>
        <sz val="11"/>
        <color rgb="FFC00000"/>
        <rFont val="Calibri"/>
        <family val="2"/>
        <scheme val="minor"/>
      </rPr>
      <t xml:space="preserve">. </t>
    </r>
  </si>
  <si>
    <t>Sheet No. 3 (Ref. 3.2 &amp; 3.3)</t>
  </si>
  <si>
    <t>Sheet no.3 (Ref. 3.1 table only)</t>
  </si>
  <si>
    <t xml:space="preserve"> </t>
  </si>
  <si>
    <t>Shade for Collection center  I</t>
  </si>
  <si>
    <t>Shade for Collection center  II</t>
  </si>
  <si>
    <t>Shade for Collection center  III</t>
  </si>
  <si>
    <t>Shade for Collection center  IV</t>
  </si>
  <si>
    <t>Shade for Collection center  V</t>
  </si>
  <si>
    <t>Cultivation &amp; Harvesting Equipment</t>
  </si>
  <si>
    <t>Insulated/ non-insulated distribution vehicle</t>
  </si>
  <si>
    <t>Existing Value Chain of Grains</t>
  </si>
  <si>
    <t>Action</t>
  </si>
  <si>
    <t>Actor</t>
  </si>
  <si>
    <t>Supporters</t>
  </si>
  <si>
    <t>Consuming</t>
  </si>
  <si>
    <t>Consumer</t>
  </si>
  <si>
    <t>Werehouse, Financers, Agricultures, Insurance Companies</t>
  </si>
  <si>
    <t>Retalling</t>
  </si>
  <si>
    <t>Retailer</t>
  </si>
  <si>
    <t>Wholesale</t>
  </si>
  <si>
    <t>Traders</t>
  </si>
  <si>
    <t>Dealer</t>
  </si>
  <si>
    <t>Sorting Grading</t>
  </si>
  <si>
    <t>Processing Unit</t>
  </si>
  <si>
    <t>Seed Processing unit</t>
  </si>
  <si>
    <t>Dalal</t>
  </si>
  <si>
    <t>Marketing</t>
  </si>
  <si>
    <t>Kheda Kharedidar</t>
  </si>
  <si>
    <t>APMC</t>
  </si>
  <si>
    <t>Production</t>
  </si>
  <si>
    <t>Farmer</t>
  </si>
  <si>
    <t>Input Supply</t>
  </si>
  <si>
    <t>Proposaed Value Chain of Grains</t>
  </si>
  <si>
    <t>CBO</t>
  </si>
  <si>
    <t>Repaires &amp; Maintanance</t>
  </si>
  <si>
    <t>Administration Exps.&amp; Marketing Exps</t>
  </si>
  <si>
    <t>Transportation Charges ( Inward )</t>
  </si>
  <si>
    <t>Transportation Charges ( OutWard )</t>
  </si>
  <si>
    <t>Fixed Labour</t>
  </si>
  <si>
    <t>Graded &amp; Sorted Wheat (98%)</t>
  </si>
  <si>
    <t>Graded &amp; Sorted Maize (97%)</t>
  </si>
  <si>
    <t>Graded &amp; Sorted Bajra (97%)</t>
  </si>
  <si>
    <t>Graded &amp; Sorted Jawar (97%)</t>
  </si>
  <si>
    <t>Variable Cost Dal Mill</t>
  </si>
  <si>
    <t>S.No.</t>
  </si>
  <si>
    <t>Amount</t>
  </si>
  <si>
    <t>-</t>
  </si>
  <si>
    <t>Water</t>
  </si>
  <si>
    <t>Sr No</t>
  </si>
  <si>
    <t>INTRODUCTION</t>
  </si>
  <si>
    <t>Tata 1518</t>
  </si>
  <si>
    <t>Tata 1109</t>
  </si>
  <si>
    <t>Mahindra Balero Pikup Extra Long</t>
  </si>
  <si>
    <t>Office Building</t>
  </si>
  <si>
    <t xml:space="preserve">Conclusion </t>
  </si>
  <si>
    <t>Agrobaba Producer Company Limited</t>
  </si>
  <si>
    <t>Address :- Gutt No 116, Bramhangaon, Po:- Harigaon, Tal:- Shrirampur, Dist:- Ahmednagar</t>
  </si>
  <si>
    <t>COST OF PROJECT :</t>
  </si>
  <si>
    <t>Rs. in Lacs</t>
  </si>
  <si>
    <t xml:space="preserve">PARTICULARS  </t>
  </si>
  <si>
    <t>AMOUNT</t>
  </si>
  <si>
    <t xml:space="preserve">Land </t>
  </si>
  <si>
    <t>Leased</t>
  </si>
  <si>
    <t>```````````````````````````````</t>
  </si>
  <si>
    <t>Land  Devlopment</t>
  </si>
  <si>
    <t>Shed &amp; civil work</t>
  </si>
  <si>
    <t>Plant &amp; Machinery</t>
  </si>
  <si>
    <t xml:space="preserve">   </t>
  </si>
  <si>
    <t>Margin Money for Working Capital</t>
  </si>
  <si>
    <t>T O T A L</t>
  </si>
  <si>
    <t>MEANS OF FINANCE :</t>
  </si>
  <si>
    <t xml:space="preserve">Promoters' Contribution </t>
  </si>
  <si>
    <t>Term Loan From Bank</t>
  </si>
  <si>
    <t xml:space="preserve">Cash Credit Loan from Bank </t>
  </si>
  <si>
    <t>INDIAN REFERIGERATOR COMPANY LIMITED</t>
  </si>
  <si>
    <t>(RS.CRORES)</t>
  </si>
  <si>
    <t xml:space="preserve">WASHING  </t>
  </si>
  <si>
    <t>COMPRESSOR</t>
  </si>
  <si>
    <t xml:space="preserve">REFRIGE-  </t>
  </si>
  <si>
    <t>COLOUR TV</t>
  </si>
  <si>
    <t>AUDIO</t>
  </si>
  <si>
    <t xml:space="preserve">MACHINE  </t>
  </si>
  <si>
    <t>DIVN.</t>
  </si>
  <si>
    <t>TOTAL</t>
  </si>
  <si>
    <t xml:space="preserve">DIVN.  </t>
  </si>
  <si>
    <t>Land &amp; Site Development</t>
  </si>
  <si>
    <t>Buildings</t>
  </si>
  <si>
    <t>Utilities</t>
  </si>
  <si>
    <t>Miscellaneous Fixed Assets</t>
  </si>
  <si>
    <t>Pre-operative Expenses</t>
  </si>
  <si>
    <t>Provision for Contingencies</t>
  </si>
  <si>
    <t>Technical Know how fees</t>
  </si>
  <si>
    <t>=</t>
  </si>
  <si>
    <t>PARTICULARS</t>
  </si>
  <si>
    <t xml:space="preserve">RS.CRORES </t>
  </si>
  <si>
    <t>Promoters' Contribution :</t>
  </si>
  <si>
    <t>Equity Share Capital</t>
  </si>
  <si>
    <t>Unsecured Loans from Promoters</t>
  </si>
  <si>
    <t>Foreign Currency Loan from IFCI</t>
  </si>
  <si>
    <t>Term Loan from IFCI</t>
  </si>
  <si>
    <t>Term Loan from Banks/Financial Institutions</t>
  </si>
  <si>
    <t>PROJECT AT A GLANCE - TOP SHEET</t>
  </si>
  <si>
    <t>AGROBABA PRODUCER COMPANY LIMITED</t>
  </si>
  <si>
    <t>Farmer Producer Company</t>
  </si>
  <si>
    <t>PAN No  : AAUCA5741P</t>
  </si>
  <si>
    <t>Directors Name</t>
  </si>
  <si>
    <t>Mobile</t>
  </si>
  <si>
    <t xml:space="preserve">Product and By Product    : </t>
  </si>
  <si>
    <t>Cost of Project</t>
  </si>
  <si>
    <t>:</t>
  </si>
  <si>
    <t>Rs.</t>
  </si>
  <si>
    <t>Name of the project / business activity proposed :</t>
  </si>
  <si>
    <t xml:space="preserve">Means of Finance                             </t>
  </si>
  <si>
    <t>Term Loan</t>
  </si>
  <si>
    <t xml:space="preserve">Govt. Grant under </t>
  </si>
  <si>
    <t>Working Capital Loan</t>
  </si>
  <si>
    <t>Own Capital</t>
  </si>
  <si>
    <t>DIC Margin Money</t>
  </si>
  <si>
    <t xml:space="preserve">Debt Service Coverage Ratio                 </t>
  </si>
  <si>
    <t>Pay Back Period</t>
  </si>
  <si>
    <t>Project Implementation Period</t>
  </si>
  <si>
    <t>Break Even Point</t>
  </si>
  <si>
    <t>Employment</t>
  </si>
  <si>
    <t>Employee</t>
  </si>
  <si>
    <t>Power Requirement</t>
  </si>
  <si>
    <t>Available through M.S.E.B.</t>
  </si>
  <si>
    <t>Major Raw materials</t>
  </si>
  <si>
    <t>Available from own Tube -well</t>
  </si>
  <si>
    <t xml:space="preserve">Transport Facility  </t>
  </si>
  <si>
    <t xml:space="preserve"> By Road:Location is on,hence adequate transport </t>
  </si>
  <si>
    <t>facility is available</t>
  </si>
  <si>
    <t xml:space="preserve">Estimated Annual Sales Turnover           </t>
  </si>
  <si>
    <t>ABOUT THE COMPANY                :</t>
  </si>
  <si>
    <t xml:space="preserve">     PROJECT REPORT</t>
  </si>
  <si>
    <t>Of</t>
  </si>
  <si>
    <t>```````````````````````````</t>
  </si>
  <si>
    <t>````````````````````````````</t>
  </si>
  <si>
    <t>Register Office Address :</t>
  </si>
  <si>
    <t>Gut No. 116, At: Bramhangaon,</t>
  </si>
  <si>
    <t>Po. : Harigaon, Tal: Shrirampur,</t>
  </si>
  <si>
    <t>Dist: Ahmednagar - 413718</t>
  </si>
  <si>
    <t>Under</t>
  </si>
  <si>
    <t>Maharashtra Government</t>
  </si>
  <si>
    <t xml:space="preserve">Till date APCL is not sustainable for the implementation of it’s day to day activity, which is a drawback. To minimize this company needs to cover more than own thousand five hundred members in more than Two hundred villages with a business turnover of Rs Ten crores. This will include –
• Trading in seeds and medicines for agricultural use.
• Six thousand tons of Pulses production from Gram and Toor.
• Three thousand tons of Chana Besan production from Chana Dal.
• Ten thousand tons of Wheat, Bajara, Jwar clening, grading, packing and sale in to the market &amp; biggest player in India.
• Trading Seven thousand tons Maize and three thousand Maize use for Maize floor &amp; corn floor and 2000 tons of cattle feed production and sale.
• Six thousand Onion sale to biggest player in india.
• Three hundred and twenty nine tons of sales through retail outlet marketing
• Three thousand eight hundred and six tons of produce to be traded.
• Procure vegetables &amp; Fruits from farmers and sale in the market.
With the support of all the shareholders in achieving these objectives will help the company in attaining it’s sustainability.
Along with this we are also thankful to companies and distributers of the farm inputs like, seeds, implements, fertilizers, agro medicines etc. We are also thankful to Krushi Vibhag, Shrirampur, SBI and other banks, foods and drugs department, businessmen, sales tax department, Income tax department, farm produce marketing co-operative and others for their extensive support.
</t>
  </si>
  <si>
    <t xml:space="preserve">Agrobaba Producer Company Limited (APCL) is a company with is owned, managed and operated by the farmers of Maharashtra. The main objective of the company is to provide support to small and marginalized farmers of the area. For this currently we aim at having two hundred sixty two shareholders and share capital of Rs Own lakh twenty six thousand. Company’s head office is in Bramhangaon, Tal- Shrirampur,Dist- Ahmednagar. The company in the year 2020-21, started agro centers for the benefit of it’s shareholders and farmers of the region at Shrirampur, Newasa, Shevgaon, Rahuri, Rahata, Pathardi areas. A total of two hundred sixty two male and female farmers are it’s shareholders. Recently authorized share capital of Rs Own lakh twenty six thousand seven hundred was created. Working capital of Rs thirty four lakhs thirty nine thousand was arranged from authorized share capital and sale proceedings. With this working capital, farm inputs like quality seeds, pesticides, insecticides organic inputs, scientific farm implements are sold to the shareholders and the villagers. During the working of last own years i.e. 2020-21 more than two hundred farmers of the region was provided timely inputs, as per their requirement and quality. Sales of inputs worth more than Forty Lakh were undertaken during the period. According to a rough estimate the company by providing inputs, locally to the farmers have provided a savings worth Rs Ten lakh to it’s beneficiaries at the prevailing market price, while earing minimal benefit.
Since last own years the company has been promoting organic fertilizers, insecticides and weedicides under it’s own brand. Approximately Own hundred hectare of agriculture farm is under organic farming.
In order to ensure that the farmers of APCL project are able to get quality seeds of Gram, Toor, wheat, Bajara, jowar, Maize, Soybean, Onion &amp; Vegetable’s  etc. from their own area for increased production, the company has ensured the production and sale of these seeds. Farmers have reported an increase of sixty to seventy kg yield  (i.e. two hundred forty to two hundred eighty kg / hectare) by the use of locally produced seeds.
APCL with the help of Krushi Vibhag will opening a retail outlet in Shrirampur, Newasa, Shevgaon, Rahuri, Rahata, Pathardi area of Ahmednagar. In this outlet, all shareholders, farmers clubs &amp; SHG groups can sell their farm produce such as Pulses, Atta, grains, maize , Maize Floor, Starch Floor, Vagitables &amp; Fruits after proper value addition (cleaning, grading &amp; packaging) according to the market standards. This year two hundred and thirty seven consumers have directly availed the farm produces worth Rs five lakhs from the farmers. The producers earned 5% to 10%  more price for their produce.
In the last own years more and more women farmers are becoming the share-holders of the company which is a matter of joy and appreciation for the company. We hope in the coming years more and more women farmers become shareholders of the company.
We the farmers and share-holders of the company are highly grateful to Krushi Vibhag, Shrirampur for their technical and financial support in terms of trainings, exposures, product promotion, admin support etc. to ensure that company becomes self-sustainable.
Till date APCL is not sustainable for the implementation of it’s day to day activity, which is a drawback. To minimize this company needs to cover more than own thousand five hundred members in more than Two hundred villages with a business turnover of Rs Ten crores. This will include –
• Trading in seeds and medicines for agricultural use.
• Six thousand tons of Pulses production from Gram and Toor.
• Three thousand tons of Chana Besan production from Chana Dal.
• Ten thousand tons of Wheat, Bajara, Jwar clening, grading, packing and sale in to the market &amp; biggest player in India.
• Trading Seven thousand tons Maize and three thousand Maize use for Maize floor &amp; corn floor and 2000 tons of cattle feed production and sale.
• Six thousand Onion sale to biggest player in india.
• Three hundred and twenty nine tons of sales through retail outlet marketing
• Three thousand eight hundred and six tons of produce to be traded.
• Procure vegetables &amp; Fruits from farmers and sale in the market.
With the support of all the shareholders in achieving these objectives will help the company in attaining it’s sustainability.
Along with this we are also thankful to companies and distributers of the farm inputs like, seeds, implements, fertilizers, agro medicines etc. We are also thankful to Krushi Vibhag, Shrirampur, SBI and other banks, foods and drugs department, businessmen, sales tax department, Income tax department, farm produce marketing co-operative and others for their extensive support.
</t>
  </si>
  <si>
    <t>The project as a whole describes the scope and viability of the Agriculture industry and mainly of the financial, technical and its market potential.The project guarantee sufficient fund to repay the loan and also give a good return on capital investment. When analyzing the social- economic impact, this project is able to generate an employment of 5 and above. It will cater the demand of Agriculture and thus helps the other business entities to increase the production and service which provide service and support to this industry. Thus more cyclic employment and livelihood generation. So in all ways, we can conclude the project is technically and socially viable and commercially sound too. When we take a close look at the Debt Service Coverage Ratio (DSCR), the avg: DSCR is 7.9 : 1, which is at a higher proposition and proposes a stable venture The Profit and Loss shows a steady growth in profit throughout the year and the firm has a higher Current Ratio (average) of 10.48, this shows the current assets and current liabilities are managed &amp; balanced well.</t>
  </si>
  <si>
    <t>State of Maharashtra’s Agri-business and Rural Transformation Program (SMART) Project</t>
  </si>
  <si>
    <t>Department of Agriculture</t>
  </si>
  <si>
    <t>Atta Mill</t>
  </si>
  <si>
    <t>Besan Mill</t>
  </si>
  <si>
    <t>Besan</t>
  </si>
  <si>
    <t>&lt;50%</t>
  </si>
  <si>
    <t>&gt;10%</t>
  </si>
  <si>
    <t>&lt;5 years</t>
  </si>
  <si>
    <t>&gt;15%</t>
  </si>
  <si>
    <t xml:space="preserve">Labour </t>
  </si>
  <si>
    <t>Insurance</t>
  </si>
  <si>
    <t>Tour &amp; Travelling</t>
  </si>
  <si>
    <t>Mr. Latish Vitthal Wetal</t>
  </si>
  <si>
    <t>Mr. Vishwjit Indrajit Sing</t>
  </si>
  <si>
    <t>Mr. Dwarkanath Karbhari Gujar</t>
  </si>
  <si>
    <t>Mr. Kiran Vitthal Wetal</t>
  </si>
  <si>
    <t>Miss. Sunita Dyandeo Battise</t>
  </si>
  <si>
    <t>Miss. Pallavi Dattatray Vetal</t>
  </si>
  <si>
    <t>Tata 1212 LPT DCR 42HSD 125 B6 M5</t>
  </si>
  <si>
    <t>Tata  1518 LPT DCR 42 HSD</t>
  </si>
  <si>
    <t>Mahindra Balero Pikup Extra Long FB 1.7 TPS</t>
  </si>
  <si>
    <t>Expensess</t>
  </si>
  <si>
    <t>व ग्रामीण परिवर्तन (स्मार्ट) प्रकल्प</t>
  </si>
  <si>
    <t xml:space="preserve">सविस्तर प्रकल्प अहवाल </t>
  </si>
  <si>
    <t>(नमुना प्रपत्र)</t>
  </si>
  <si>
    <t>उप प्रकल्पाचे नाव:………………………………………………………………………</t>
  </si>
  <si>
    <t>सादरकर्ते</t>
  </si>
  <si>
    <t xml:space="preserve">अग्रोबाबा प्रोडुसर कंपनी लिमिटेड, </t>
  </si>
  <si>
    <t>तालुका-श्रीरामपूर जिल्हा-अहमदनगर</t>
  </si>
  <si>
    <r>
      <t>अनुक्रमणिका</t>
    </r>
    <r>
      <rPr>
        <u/>
        <sz val="24"/>
        <color rgb="FFC00000"/>
        <rFont val="Sakal Marathi"/>
      </rPr>
      <t xml:space="preserve"> </t>
    </r>
  </si>
  <si>
    <r>
      <t xml:space="preserve">भाग १ </t>
    </r>
    <r>
      <rPr>
        <b/>
        <sz val="14"/>
        <color rgb="FF002060"/>
        <rFont val="Sakal Marathi"/>
      </rPr>
      <t xml:space="preserve">: </t>
    </r>
    <r>
      <rPr>
        <b/>
        <sz val="14"/>
        <color rgb="FF002060"/>
        <rFont val="Arial Unicode MS"/>
        <family val="2"/>
      </rPr>
      <t xml:space="preserve">समुदाय आधारित संस्थेची प्राथमिक माहिती </t>
    </r>
  </si>
  <si>
    <r>
      <t xml:space="preserve">भाग २ </t>
    </r>
    <r>
      <rPr>
        <b/>
        <sz val="14"/>
        <color rgb="FF002060"/>
        <rFont val="Sakal Marathi"/>
      </rPr>
      <t>:</t>
    </r>
    <r>
      <rPr>
        <sz val="14"/>
        <color rgb="FF002060"/>
        <rFont val="Sakal Marathi"/>
      </rPr>
      <t xml:space="preserve"> </t>
    </r>
    <r>
      <rPr>
        <b/>
        <sz val="14"/>
        <color rgb="FF002060"/>
        <rFont val="Arial Unicode MS"/>
        <family val="2"/>
      </rPr>
      <t>उप</t>
    </r>
    <r>
      <rPr>
        <b/>
        <sz val="14"/>
        <color rgb="FF002060"/>
        <rFont val="Sakal Marathi"/>
      </rPr>
      <t>-</t>
    </r>
    <r>
      <rPr>
        <b/>
        <sz val="14"/>
        <color rgb="FF002060"/>
        <rFont val="Arial Unicode MS"/>
        <family val="2"/>
      </rPr>
      <t>प्रकल्पासाठी निवडलेली पिके</t>
    </r>
    <r>
      <rPr>
        <b/>
        <sz val="14"/>
        <color rgb="FF002060"/>
        <rFont val="Sakal Marathi"/>
      </rPr>
      <t xml:space="preserve">, </t>
    </r>
    <r>
      <rPr>
        <b/>
        <sz val="14"/>
        <color rgb="FF002060"/>
        <rFont val="Arial Unicode MS"/>
        <family val="2"/>
      </rPr>
      <t xml:space="preserve">विक्रीसाठी उपलब्ध शेतमाल व त्यांची </t>
    </r>
  </si>
  <si>
    <r>
      <t xml:space="preserve">            </t>
    </r>
    <r>
      <rPr>
        <b/>
        <sz val="14"/>
        <color rgb="FF002060"/>
        <rFont val="Arial Unicode MS"/>
        <family val="2"/>
      </rPr>
      <t>मुल्यसाखळी</t>
    </r>
  </si>
  <si>
    <r>
      <t xml:space="preserve">भाग ३ </t>
    </r>
    <r>
      <rPr>
        <b/>
        <sz val="14"/>
        <color rgb="FF002060"/>
        <rFont val="Sakal Marathi"/>
      </rPr>
      <t xml:space="preserve">: </t>
    </r>
    <r>
      <rPr>
        <b/>
        <sz val="14"/>
        <color rgb="FF002060"/>
        <rFont val="Arial Unicode MS"/>
        <family val="2"/>
      </rPr>
      <t>प्रस्तावित उप</t>
    </r>
    <r>
      <rPr>
        <b/>
        <sz val="14"/>
        <color rgb="FF002060"/>
        <rFont val="Sakal Marathi"/>
      </rPr>
      <t>-</t>
    </r>
    <r>
      <rPr>
        <b/>
        <sz val="14"/>
        <color rgb="FF002060"/>
        <rFont val="Arial Unicode MS"/>
        <family val="2"/>
      </rPr>
      <t>प्रकल्प आराखडा</t>
    </r>
  </si>
  <si>
    <r>
      <t xml:space="preserve">भाग ४ </t>
    </r>
    <r>
      <rPr>
        <b/>
        <sz val="14"/>
        <color rgb="FF002060"/>
        <rFont val="Sakal Marathi"/>
      </rPr>
      <t>:</t>
    </r>
    <r>
      <rPr>
        <sz val="14"/>
        <color rgb="FF002060"/>
        <rFont val="Sakal Marathi"/>
      </rPr>
      <t xml:space="preserve"> </t>
    </r>
    <r>
      <rPr>
        <b/>
        <sz val="14"/>
        <color rgb="FF002060"/>
        <rFont val="Arial Unicode MS"/>
        <family val="2"/>
      </rPr>
      <t xml:space="preserve">उपप्रकल्पाच्या अंमलबजावणीचे नियोजन </t>
    </r>
  </si>
  <si>
    <r>
      <t>भाग ५</t>
    </r>
    <r>
      <rPr>
        <b/>
        <sz val="14"/>
        <color rgb="FF002060"/>
        <rFont val="Sakal Marathi"/>
      </rPr>
      <t>:</t>
    </r>
    <r>
      <rPr>
        <sz val="14"/>
        <color rgb="FF002060"/>
        <rFont val="Sakal Marathi"/>
      </rPr>
      <t xml:space="preserve"> </t>
    </r>
    <r>
      <rPr>
        <b/>
        <sz val="14"/>
        <color rgb="FF002060"/>
        <rFont val="Arial Unicode MS"/>
        <family val="2"/>
      </rPr>
      <t>उप</t>
    </r>
    <r>
      <rPr>
        <b/>
        <sz val="14"/>
        <color rgb="FF002060"/>
        <rFont val="Sakal Marathi"/>
      </rPr>
      <t>-</t>
    </r>
    <r>
      <rPr>
        <b/>
        <sz val="14"/>
        <color rgb="FF002060"/>
        <rFont val="Arial Unicode MS"/>
        <family val="2"/>
      </rPr>
      <t xml:space="preserve">प्रकल्पासाठीचा खर्च </t>
    </r>
    <r>
      <rPr>
        <b/>
        <sz val="14"/>
        <color rgb="FF002060"/>
        <rFont val="Sakal Marathi"/>
      </rPr>
      <t>(</t>
    </r>
    <r>
      <rPr>
        <b/>
        <sz val="14"/>
        <color rgb="FF002060"/>
        <rFont val="Arial Unicode MS"/>
        <family val="2"/>
      </rPr>
      <t xml:space="preserve">सब प्रोजेक्ट बजेट </t>
    </r>
    <r>
      <rPr>
        <b/>
        <sz val="14"/>
        <color rgb="FF002060"/>
        <rFont val="Sakal Marathi"/>
      </rPr>
      <t xml:space="preserve">) </t>
    </r>
    <r>
      <rPr>
        <b/>
        <sz val="14"/>
        <color rgb="FF002060"/>
        <rFont val="Arial Unicode MS"/>
        <family val="2"/>
      </rPr>
      <t>आणि आर्थिक विश्लेषण</t>
    </r>
  </si>
  <si>
    <r>
      <rPr>
        <b/>
        <sz val="14"/>
        <color rgb="FF002060"/>
        <rFont val="Arial Unicode MS"/>
        <family val="2"/>
      </rPr>
      <t>भाग ६</t>
    </r>
    <r>
      <rPr>
        <b/>
        <sz val="14"/>
        <color rgb="FF002060"/>
        <rFont val="Sakal Marathi"/>
      </rPr>
      <t>:</t>
    </r>
    <r>
      <rPr>
        <sz val="14"/>
        <color rgb="FF002060"/>
        <rFont val="Sakal Marathi"/>
      </rPr>
      <t xml:space="preserve"> </t>
    </r>
    <r>
      <rPr>
        <b/>
        <sz val="14"/>
        <color rgb="FF002060"/>
        <rFont val="Arial Unicode MS"/>
        <family val="2"/>
      </rPr>
      <t xml:space="preserve">गृहितके </t>
    </r>
  </si>
  <si>
    <r>
      <rPr>
        <b/>
        <sz val="14"/>
        <color rgb="FF002060"/>
        <rFont val="Arial Unicode MS"/>
        <family val="2"/>
      </rPr>
      <t>भाग ७</t>
    </r>
    <r>
      <rPr>
        <b/>
        <sz val="14"/>
        <color rgb="FF002060"/>
        <rFont val="Sakal Marathi"/>
      </rPr>
      <t xml:space="preserve">: </t>
    </r>
    <r>
      <rPr>
        <b/>
        <sz val="14"/>
        <color rgb="FF002060"/>
        <rFont val="Arial Unicode MS"/>
        <family val="2"/>
      </rPr>
      <t>सामाजिक कृति आराखडा</t>
    </r>
  </si>
  <si>
    <r>
      <t>भाग</t>
    </r>
    <r>
      <rPr>
        <b/>
        <sz val="14"/>
        <color rgb="FF002060"/>
        <rFont val="Sakal Marathi"/>
      </rPr>
      <t xml:space="preserve"> </t>
    </r>
    <r>
      <rPr>
        <b/>
        <sz val="14"/>
        <color rgb="FF002060"/>
        <rFont val="Arial Unicode MS"/>
        <family val="2"/>
      </rPr>
      <t xml:space="preserve">८ </t>
    </r>
    <r>
      <rPr>
        <b/>
        <sz val="14"/>
        <color rgb="FF002060"/>
        <rFont val="Sakal Marathi"/>
      </rPr>
      <t xml:space="preserve"> : </t>
    </r>
    <r>
      <rPr>
        <b/>
        <sz val="14"/>
        <color rgb="FF002060"/>
        <rFont val="Arial Unicode MS"/>
        <family val="2"/>
      </rPr>
      <t>पर्यावरणीय</t>
    </r>
    <r>
      <rPr>
        <b/>
        <sz val="14"/>
        <color rgb="FF002060"/>
        <rFont val="Sakal Marathi"/>
      </rPr>
      <t xml:space="preserve"> </t>
    </r>
    <r>
      <rPr>
        <b/>
        <sz val="14"/>
        <color rgb="FF002060"/>
        <rFont val="Arial Unicode MS"/>
        <family val="2"/>
      </rPr>
      <t>कृति</t>
    </r>
    <r>
      <rPr>
        <b/>
        <sz val="14"/>
        <color rgb="FF002060"/>
        <rFont val="Sakal Marathi"/>
      </rPr>
      <t xml:space="preserve"> </t>
    </r>
    <r>
      <rPr>
        <b/>
        <sz val="14"/>
        <color rgb="FF002060"/>
        <rFont val="Arial Unicode MS"/>
        <family val="2"/>
      </rPr>
      <t>आराखडा</t>
    </r>
  </si>
  <si>
    <r>
      <t>भाग</t>
    </r>
    <r>
      <rPr>
        <b/>
        <sz val="14"/>
        <color rgb="FF002060"/>
        <rFont val="Sakal Marathi"/>
      </rPr>
      <t xml:space="preserve"> </t>
    </r>
    <r>
      <rPr>
        <b/>
        <sz val="14"/>
        <color rgb="FF002060"/>
        <rFont val="Arial Unicode MS"/>
        <family val="2"/>
      </rPr>
      <t xml:space="preserve">९ </t>
    </r>
    <r>
      <rPr>
        <b/>
        <sz val="14"/>
        <color rgb="FF002060"/>
        <rFont val="Sakal Marathi"/>
      </rPr>
      <t xml:space="preserve"> : </t>
    </r>
    <r>
      <rPr>
        <b/>
        <sz val="14"/>
        <color rgb="FF002060"/>
        <rFont val="Arial Unicode MS"/>
        <family val="2"/>
      </rPr>
      <t>संपादन आराखडा</t>
    </r>
  </si>
  <si>
    <r>
      <t>भाग -</t>
    </r>
    <r>
      <rPr>
        <b/>
        <sz val="16"/>
        <color rgb="FF365F91"/>
        <rFont val="Arial Unicode MS"/>
        <family val="2"/>
      </rPr>
      <t>१</t>
    </r>
    <r>
      <rPr>
        <b/>
        <sz val="18"/>
        <color rgb="FF365F91"/>
        <rFont val="Arial Unicode MS"/>
        <family val="2"/>
      </rPr>
      <t xml:space="preserve"> समुदाय आधारीत संस्थेची प्राथमिक माहिती</t>
    </r>
  </si>
  <si>
    <r>
      <t>१.१ संस्थेची सर्वसाधारण माहिती</t>
    </r>
    <r>
      <rPr>
        <b/>
        <sz val="14"/>
        <color theme="1"/>
        <rFont val="Sakal Marathi"/>
      </rPr>
      <t>:</t>
    </r>
    <r>
      <rPr>
        <b/>
        <sz val="14"/>
        <color theme="1"/>
        <rFont val="Arial Unicode MS"/>
        <family val="2"/>
      </rPr>
      <t>-</t>
    </r>
    <r>
      <rPr>
        <b/>
        <sz val="14"/>
        <color theme="1"/>
        <rFont val="Sakal Marathi"/>
      </rPr>
      <t xml:space="preserve">  </t>
    </r>
  </si>
  <si>
    <t xml:space="preserve">समुदाय आधारित संस्थेचे नांव    </t>
  </si>
  <si>
    <t>पत्ता</t>
  </si>
  <si>
    <t>जि. अहमदनगर – ४१३७१८</t>
  </si>
  <si>
    <t>व्यक्तीचे नांव    लतीश विठ्ठल वेताळ</t>
  </si>
  <si>
    <t>पदनाम           संचालक</t>
  </si>
  <si>
    <t>मोबाईल क्रमांक   ९०११०६५०२४</t>
  </si>
  <si>
    <t>ई-मेल           agrobaba.pcl@gmail.com</t>
  </si>
  <si>
    <t>संस्थेची नोंदणी झाली आहे का?</t>
  </si>
  <si>
    <t xml:space="preserve">होय असल्यास, कोणत्या कायद्या अंतर्गत  </t>
  </si>
  <si>
    <t>संस्थेचे नोंदणी वर्ष व क्रमांक</t>
  </si>
  <si>
    <t xml:space="preserve">संस्थेचा पॅन नंबर </t>
  </si>
  <si>
    <t>AAUCA5741P</t>
  </si>
  <si>
    <t>उद्योग आधार क्रमांक</t>
  </si>
  <si>
    <t xml:space="preserve">संस्थेचे नोंदणीकृत भांडवल (रु. लाखात) </t>
  </si>
  <si>
    <t>संस्थेचे जमा केलेले भांडवल (रु. लाखात)</t>
  </si>
  <si>
    <t>अग्रोबाबा प्रोडयुसर कं पनी लिमटेड</t>
  </si>
  <si>
    <t>गट नंबर ११६, मु. ब्राम्हणगाव, पो. हरेगाव, ता. श्रीरामपूर,</t>
  </si>
  <si>
    <t xml:space="preserve">जबाबदार व्यक्तींचा तप 
</t>
  </si>
  <si>
    <t xml:space="preserve">१.२ संस्थेच्या नोंदणी बाबत  </t>
  </si>
  <si>
    <t xml:space="preserve">संस्थेचा प्रकार (योग्य ठिकाणी √ अशी खुण करावी ) </t>
  </si>
  <si>
    <t xml:space="preserve">१. शेतकरी उत्पादक कंपनी </t>
  </si>
  <si>
    <t>नोंदणी क्रमांक   U01100PN2020PTC197191</t>
  </si>
  <si>
    <t>• नोंदणी वर्ष      2020</t>
  </si>
  <si>
    <t xml:space="preserve"> UDYAM-MH-01-0019972</t>
  </si>
  <si>
    <t xml:space="preserve">१.३ संचालक मंडळाच्या सदस्यांचा तपशिल </t>
  </si>
  <si>
    <t xml:space="preserve">टीप: सामाजिक वर्गवारी अनुसुचित जाती, अनुसुचित जमाती,भटक्या जमाती, इतर मागास वर्ग सर्वसाधारण </t>
  </si>
  <si>
    <t xml:space="preserve">अशारीतीने नोंदवावी </t>
  </si>
  <si>
    <t xml:space="preserve">१.४ संचालक मंडळातील सदस्यांनी यापूर्वी व्यवसाय चालविण्याच्या अनुषंगाने प्रशिक्षणे घेतलेली असल्यास त्याचा तपशिल </t>
  </si>
  <si>
    <t xml:space="preserve">संचालक मंडळातील सहभागी झालेल्या सदस्यांची नावे   </t>
  </si>
  <si>
    <t xml:space="preserve">प्रमुख विषय </t>
  </si>
  <si>
    <t xml:space="preserve">आयोजक संस्था </t>
  </si>
  <si>
    <t>कालावधी (दिवस)</t>
  </si>
  <si>
    <t xml:space="preserve">प्रशिक्षणाचे नाव </t>
  </si>
  <si>
    <t>क्र.</t>
  </si>
  <si>
    <t xml:space="preserve">१.५ समुदाय आधारित संस्थेच्या सदस्यांचा / भागधारकांचा तपशील (संख्या) </t>
  </si>
  <si>
    <t xml:space="preserve">एकुण  सदस्य </t>
  </si>
  <si>
    <t>महिला</t>
  </si>
  <si>
    <t>पुरूष</t>
  </si>
  <si>
    <t>अनुसुचित जाती</t>
  </si>
  <si>
    <t xml:space="preserve">अनुसुचितजमाअत्यल्प / सीमांत  भु-धारक(०-१ हेक्टर)ती
</t>
  </si>
  <si>
    <t xml:space="preserve">अल्प/लहान           भु-धारक
(१-२ हेक्टर)
</t>
  </si>
  <si>
    <t xml:space="preserve">मध्यम                    भु -धारक
(२-५ हेक्टर )
</t>
  </si>
  <si>
    <t xml:space="preserve">मोठे शेतकरी
(५ हेक्टर पेक्षा जास्त)
</t>
  </si>
  <si>
    <t xml:space="preserve">भाडे तत्वावर शेती करणारे सदस्य  </t>
  </si>
  <si>
    <t>भुमीहीन</t>
  </si>
  <si>
    <t>क्र</t>
  </si>
  <si>
    <t>१.६ इतर सहभागी संस्थांचा तपशिल (एका पेक्षा जास्त संस्था  प्रवर्तक म्हणून असल्यास इतर सहयोगी  संस्थांचा तपशिल खाली तक्त्यात द्यावा )</t>
  </si>
  <si>
    <t>सदस्यांची संख्या</t>
  </si>
  <si>
    <t>संपर्क क्र.</t>
  </si>
  <si>
    <t>संपर्क  व्यक्तीचे नाव</t>
  </si>
  <si>
    <t>संस्थेचे नाव</t>
  </si>
  <si>
    <t xml:space="preserve">१.७ संस्थेकडे असलेल्या स्थावर व जंगम मालमत्तेचा तपशिल </t>
  </si>
  <si>
    <t xml:space="preserve">मालमत्ता प्रकार </t>
  </si>
  <si>
    <t xml:space="preserve">युनिट </t>
  </si>
  <si>
    <t xml:space="preserve">एकूण युनिट </t>
  </si>
  <si>
    <t>प्रति युनिट बाजार मूल्य</t>
  </si>
  <si>
    <t>एकूण बाजार मूल्य (रु.)</t>
  </si>
  <si>
    <t xml:space="preserve">स्थावर  मालमत्ता </t>
  </si>
  <si>
    <t xml:space="preserve">एकूण </t>
  </si>
  <si>
    <t>जंगम मालमत्ता</t>
  </si>
  <si>
    <t>एकूण</t>
  </si>
  <si>
    <t xml:space="preserve">एकूण एकंदर </t>
  </si>
  <si>
    <t>अ</t>
  </si>
  <si>
    <t>ब</t>
  </si>
  <si>
    <t xml:space="preserve">टीप: वरील तक्त्यात संस्थेकडे असलेल्या विविध मालमत्ता उदा.जमीन, इमारत, संकलन केंद्र, स्वच्छता व प्रतवारी मशिनरी, प्रक्रिये संदर्भातील यंत्रसामुग्री, अन्य </t>
  </si>
  <si>
    <t xml:space="preserve">औजारे, उपकरणे व मशिनरी, गोदाम, वाहन, फर्निचर, माहिती व तंत्रज्ञानाशी निगडीत साहित्य जसे कि संगणक, प्रिंटर इत्यादी मालमत्तेचा तपशिल भरावा. </t>
  </si>
  <si>
    <t xml:space="preserve">परवान्याचा प्रकार </t>
  </si>
  <si>
    <t xml:space="preserve">कोणाकडून प्राप्त (प्राधिकारी) </t>
  </si>
  <si>
    <t>परवाना क्र.</t>
  </si>
  <si>
    <t xml:space="preserve">मुदत </t>
  </si>
  <si>
    <t>Ministry of Commerce and Industry</t>
  </si>
  <si>
    <t>27AAUCA5741P1ZT</t>
  </si>
  <si>
    <t>Gov. of India</t>
  </si>
  <si>
    <t>NA</t>
  </si>
  <si>
    <t>DIPP89177</t>
  </si>
  <si>
    <t>२३/१२/२०२३०</t>
  </si>
  <si>
    <t xml:space="preserve">१.९ संस्थेचे सद्यस्थितील व्यवसाय, उपक्रम व सहभागी शेतकरी (मागील आर्थिक वर्ष २०२० ते २१)  </t>
  </si>
  <si>
    <t xml:space="preserve">सहभागी शेतकऱ्यांची संख्या </t>
  </si>
  <si>
    <t>संस्थेचे सभासद</t>
  </si>
  <si>
    <t>बिगर सभासद</t>
  </si>
  <si>
    <t xml:space="preserve">शेतमालाचे एकत्रीकरण करून विक्री करणे </t>
  </si>
  <si>
    <t>व्यवसाय/उपक्रम</t>
  </si>
  <si>
    <t xml:space="preserve">क्र </t>
  </si>
  <si>
    <t>शेतमालावर प्राथमिक प्रक्रिया (धान्य स्वच्छता व प्रतवारी )</t>
  </si>
  <si>
    <t xml:space="preserve">खत बी –बियाणे इतर निविष्ठा विक्री </t>
  </si>
  <si>
    <t>क</t>
  </si>
  <si>
    <t>ड</t>
  </si>
  <si>
    <t>इ</t>
  </si>
  <si>
    <t>१.१० संस्थेची मागील तीन वर्षाची उलाढाल</t>
  </si>
  <si>
    <t>तपशील</t>
  </si>
  <si>
    <t>वर्ष- २०—ते --</t>
  </si>
  <si>
    <t>वर्ष- २०२०ते २०२१</t>
  </si>
  <si>
    <t>वार्षिक उलाढाल                      (रु. लाखात)</t>
  </si>
  <si>
    <t xml:space="preserve">(टिप :- लेखा परिक्षकाच्या ऑडीट रिपोर्टनुसार उलाढाल द्यावी. उलाढालाची व्याख्या पुढीलप्रमाणे </t>
  </si>
  <si>
    <t xml:space="preserve">“Turnover” means the gross amount of revenue recognized in the profit and loss account from the sale, supply, or distribution of goods or on account of services rendered, or both, by a company during a financial year.)
</t>
  </si>
  <si>
    <t>भाग २ उप-प्रकल्पासाठी निवडलेली पिके, विक्रीसाठी उपलब्ध शेतमाल व त्यांची मुल्यसाखळी</t>
  </si>
  <si>
    <t xml:space="preserve">२.१  उप-प्रकल्पासाठी निवडलेली प्रमुख पिके व त्यांच्या विक्रीचा तपशिल (गत तीन वर्षाची सरासरी)  </t>
  </si>
  <si>
    <t>संस्थेमार्फत एकत्रीकरणा शिवाय अन्य बाजारात सभासदांनी वैयक्तिक पातळीवर विक्री केलेला शेतमाल (टन)</t>
  </si>
  <si>
    <t>संस्थेमार्फत एकत्रीकरण करून विकण्यात आलेला शेतमाल (टन)</t>
  </si>
  <si>
    <t>घरगुती वापर बियाणे इ. वगळून विक्रीसाठी उपलब्ध होणारा शेतमाल (टन)</t>
  </si>
  <si>
    <t>एकूण उत्पादन (टन)</t>
  </si>
  <si>
    <t>सरासरी उत्पादकता (टन प्रति हेक्टर)</t>
  </si>
  <si>
    <t>संस्थेतील  शेतकऱ्यांचे  पिकाखालील क्षेत्र (हे.)</t>
  </si>
  <si>
    <t>पिकाचे नाव</t>
  </si>
  <si>
    <t>अ.क्र.</t>
  </si>
  <si>
    <t xml:space="preserve">टीप: एकापेक्षा जास्त प्रवर्तक संस्था असतील तर सर्व संस्थांच्या सदस्यांच्या शेतमालाचा एकत्रित तपशिल द्यावा. </t>
  </si>
  <si>
    <t>२.१.१  संस्थेने एकत्रीकरण करून विक्री केलेल्या शेतमालाचा तपशिल :- (गत तीन वर्षाची सरासरी)</t>
  </si>
  <si>
    <t xml:space="preserve">शेतमाल
(मेट्रिक टन )
</t>
  </si>
  <si>
    <t>विक्री व्यवस्था</t>
  </si>
  <si>
    <t xml:space="preserve">प्रक्रिया उद्योजक </t>
  </si>
  <si>
    <t xml:space="preserve">निर्यातदार </t>
  </si>
  <si>
    <t>संघटीत किरकोळ विक्रेत्याची साखळी (Orgnised Retail Chain)</t>
  </si>
  <si>
    <t>अन्य थेट विक्री परवाना धारक (DML)</t>
  </si>
  <si>
    <t>इतर............</t>
  </si>
  <si>
    <t>२.२.१ प्रकल्प क्षेत्रातील निवडलेल्या पिकाची सद्यस्थितीतील अधिकतम शेतमाल विक्री होणारी मूल्यसाखळी व त्यातून किती टक्के विक्रीसाठी उपलब्ध (Marketable surplus) शेतमाल विकला जातो?</t>
  </si>
  <si>
    <r>
      <rPr>
        <b/>
        <sz val="11"/>
        <color theme="1"/>
        <rFont val="Calibri"/>
        <family val="2"/>
        <scheme val="minor"/>
      </rPr>
      <t>२.२. प्रमुख पिकांच्या मुल्यसाखळीचा तपशिल :-</t>
    </r>
    <r>
      <rPr>
        <sz val="11"/>
        <color theme="1"/>
        <rFont val="Calibri"/>
        <family val="2"/>
        <scheme val="minor"/>
      </rPr>
      <t xml:space="preserve"> (मूल्यसाखळी म्हणजे शेतमालाच्या उत्पादनापासून त्याच्या उपभोगापर्यंत सर्व कार्याची व ते कार्य करणाऱ्या सर्व घटकांची साखळी होय. या साखळीमुळे उत्पादित शेतमालाची मालकी एका घटकापासून दुसऱ्या घटकापर्यंत जाते आणि या प्रक्रियेत शेतमालाच्या किमतीत वाढ (मूल्यवृद्धी) होत जाते.)  </t>
    </r>
  </si>
  <si>
    <t xml:space="preserve">    (मूल्यसाखळी कशी लिहावी हे प्रपत्रामध्ये विषद केलेले आहे.)</t>
  </si>
  <si>
    <t xml:space="preserve">२.२.२ निवडलेल्या पिकांच्या सद्यस्थितीतील मुल्यसाखळीतील अडचणी  :-  </t>
  </si>
  <si>
    <t>1. मशागत , पेरणी, काढणी करिता साधन सामग्री वेळेवर उपलब्ध न होणे. तसेच मशागतीचे, पेरणीचे, काढनीचे पैसे देण्या करिता शेतकर्यांना लवकर शेतमाल विकावा लागतो.</t>
  </si>
  <si>
    <t xml:space="preserve">2. शेतमाल वाहतुकी करिता वाहने वेळेवर न मिळणे किंवा वाहतूक दरान कडून अधिक प्रमाणात वाहतूक दर आकारणे. </t>
  </si>
  <si>
    <t>3. शेतमाल साठवणूक करण्या करिता व्यवस्था नसल्याने कावडी मोल भावाने विकावे लागते, तसेच निसर्गाच्या द्रूष्ट चक्रात अडकून उत्पादित माल खराब होतो.</t>
  </si>
  <si>
    <t>4. शेतमालावर प्रक्रिया करण्या करिता ग्रामीण भागात शेतमाल प्रक्रिया उद्योगांचा अभाव. त्यामुळे शेतकर्यांना योग्याभाव मिळत नाही</t>
  </si>
  <si>
    <t>5. शेतमाल विक्री करिता दलालांवर अवलंबून राहणे, त्यामुळे शेतकर्यांना योग्याभाव मिळत नाही. व शेतकऱ्यांची दलालान कडून  पिळवणूक होते.</t>
  </si>
  <si>
    <t xml:space="preserve">२.२.३  सद्यस्थितीतील मूल्यसाखळीमधील अडचणी निवारण्यासाठी उपाययोजना :- </t>
  </si>
  <si>
    <t>1. शेतकर्यांना मशागत , पेरणी, काढणी करिता साधन सामग्री खरेदी करून वाजवी दारात व वेळेवर उपलब्ध करून देणे.</t>
  </si>
  <si>
    <t>2. शेतमाल वाहून आणण्यासाठी व बाजारात विक्री व्यवस्थे पर्यंत पोहच करण्या करिता संस्थेचे स्वतःचे वाहने खरेदी करणे, व शेतकर्यांना वाजवी दरात वाहतूक व्यवस्था उपलब्ध करून देणे.</t>
  </si>
  <si>
    <t>3. शेतकऱ्यांचा शेतमालाची साठवणूक करण्या करिता गोदामाची उभारणी करणे.</t>
  </si>
  <si>
    <t>4. . शेतकऱ्यांचा शेतमाल एकत्रित करून त्यावर प्रक्रिया उद्योग उभारून शेतकर्यांना शेतमालाची योग्य किमत मिळवून देणे.</t>
  </si>
  <si>
    <t>5. शेतकऱ्यांचा शेतमाल खरेदी करून त्यावर प्रक्रिया करून संस्थे मार्फत विक्री व्यवस्था उभी करणे ज्यामुळे शेतकर्यांना बाजार भाव पेक्ष्या ५% ते १०% जास्तीचा भाव मिळेल. त्यामुळे शेतकरी  दलालानवर अवलंबून राहणार नाहीत.</t>
  </si>
  <si>
    <t xml:space="preserve">२.३ संस्थेने कृषी उत्पादनाच्या विक्रीसाठी पर्यायी खरेदीदार / बाजारांचे सर्वेक्षण केले आहे का? </t>
  </si>
  <si>
    <t xml:space="preserve"> होय  / नाही </t>
  </si>
  <si>
    <t xml:space="preserve">२.३.१ होय असल्यास त्याचा तपशिल </t>
  </si>
  <si>
    <t>संस्थे ने कृषी उत्पादनाच्या विक्री करिता खालील खरेदीदारान बरोबर करार केलेले आहेत. तसेच संस्था स्वतःची विक्री व्यवस्था उभी करून तालुक्याच्या ठिकाणी स्वतःची दुकाने उभारणार आहे.</t>
  </si>
  <si>
    <t>करार केलेल्या संस्थांची नवे खालील प्रमाणे.</t>
  </si>
  <si>
    <t>१) किसान कनेक्ट फार्मर प्रोडूसार कंपनी लिमिटेड २) प्रभात अग्रो मल्टीस्टेट को-ओप्रेटीव सोसायाटी लि.</t>
  </si>
  <si>
    <t xml:space="preserve">२) साई स्पेसियालीटी कम्पौंड  ३) इंडिअन वूमन हायटेक अग्रो को-ऑप लि. ४ ) कृष्णा अग्रो इंडस्ट्रीज </t>
  </si>
  <si>
    <t xml:space="preserve">२.३.२ सदर सर्वेक्षणातून पुढे आलेल्या संभाव्य खरेदीदार/बाजारांचा तपशिल </t>
  </si>
  <si>
    <t xml:space="preserve">शेतमालाचा प्रकार </t>
  </si>
  <si>
    <t>ई-मेल आयडी</t>
  </si>
  <si>
    <t>संपर्क क्रमांक</t>
  </si>
  <si>
    <t>खरेदीदार / बाजार संस्थेचे नाव</t>
  </si>
  <si>
    <t>किसान कनेक्ट फार्मर प्रोडूसार कंपनी लिमिटेड</t>
  </si>
  <si>
    <t>प्रभात अग्रो मल्टीस्टेट को-ओप्रेटीव सोसायाटी लि.</t>
  </si>
  <si>
    <t xml:space="preserve">साई स्पेसियालीटी कम्पौंड  </t>
  </si>
  <si>
    <t>इंडिअन वूमन हायटेक अग्रो को-ऑप लि</t>
  </si>
  <si>
    <t>कृष्णा अग्रो इंडस्ट्रीज</t>
  </si>
  <si>
    <t>गट नं १२१, मु. रंजनखोल, पो-टिळकनगर, ता. राहता, जि. अहमदनगर</t>
  </si>
  <si>
    <t>मु. ब्राम्हणगाव, पो- हरिगाव, ता. श्रीरामपूर, जि. अहमदनगर</t>
  </si>
  <si>
    <t xml:space="preserve">भाग ३ प्रस्तावित उप-प्रकल्प आराखडा </t>
  </si>
  <si>
    <r>
      <t xml:space="preserve">२.१ </t>
    </r>
    <r>
      <rPr>
        <b/>
        <u/>
        <sz val="11"/>
        <color theme="1"/>
        <rFont val="Arial Unicode MS"/>
        <family val="2"/>
      </rPr>
      <t>उत्पादक भागीदारी उपप्रकल्प</t>
    </r>
    <r>
      <rPr>
        <sz val="11"/>
        <color theme="1"/>
        <rFont val="Arial Unicode MS"/>
        <family val="2"/>
      </rPr>
      <t xml:space="preserve">   </t>
    </r>
    <r>
      <rPr>
        <b/>
        <sz val="14"/>
        <color theme="1"/>
        <rFont val="Arial Unicode MS"/>
        <family val="2"/>
      </rPr>
      <t>√</t>
    </r>
  </si>
  <si>
    <t>२.२ बाजार संपर्क वाढ उपप्रकल्प</t>
  </si>
  <si>
    <t>२.३ इतर ......</t>
  </si>
  <si>
    <t>गट नं. ११६, मु. ब्राम्हणगाव, पो. हरेगाव, ता. श्रीरामपूर, जि. अहमदनगर -४१३७१८</t>
  </si>
  <si>
    <t>जिल्हा मुख्यालयापासून अंतर ६० किमी</t>
  </si>
  <si>
    <t xml:space="preserve">राज्य महामार्ग SH44  पासून ६ किमी अंतरावर </t>
  </si>
  <si>
    <t>राज्य महामार्ग SH47  पासून ८ किमी अंतरावर</t>
  </si>
  <si>
    <t>तसेच प्रकल्पा पर्यंत पक्का रस्ता आहे.</t>
  </si>
  <si>
    <t xml:space="preserve">६. प्रस्तावित उप-प्रकल्प उभारणीसाठी सद्यस्थितीत उपलब्ध असलेल्या पायाभूत सुविधांची माहिती   </t>
  </si>
  <si>
    <t>विवरण</t>
  </si>
  <si>
    <t>उप - प्रकल्पाचे स्थान</t>
  </si>
  <si>
    <t xml:space="preserve">गावाचे अक्षांश रेखांश </t>
  </si>
  <si>
    <t>1. गाव:   ब्राम्हणगाव</t>
  </si>
  <si>
    <t>2. ग्रामपंचायत: ब्राम्हणगाव</t>
  </si>
  <si>
    <t>4. जिल्हा:  अहमदनगर</t>
  </si>
  <si>
    <t>5. राज्य: महाराष्ट्र</t>
  </si>
  <si>
    <t>अक्षांश 19.66006  रेखांश   74.6892</t>
  </si>
  <si>
    <t xml:space="preserve">२ एकर </t>
  </si>
  <si>
    <t xml:space="preserve">प्रस्तावित उप-प्रकल्पास किती जमीन आवश्यक आहे. </t>
  </si>
  <si>
    <t xml:space="preserve">निवडलेली जागा संस्थेच्या मालकीची आहे का? </t>
  </si>
  <si>
    <t xml:space="preserve"> नाही </t>
  </si>
  <si>
    <t>होय असल्यास सर्वे/गट क्र. -----------------------------------</t>
  </si>
  <si>
    <t>अक्षांश ………………..  रेखांश   …………………</t>
  </si>
  <si>
    <t xml:space="preserve">अ)जागा भाडे कराराने घेणार असल्यास </t>
  </si>
  <si>
    <t xml:space="preserve">जागा निश्चिती केली आहे का? </t>
  </si>
  <si>
    <t xml:space="preserve">होय असल्यास तपशील </t>
  </si>
  <si>
    <t xml:space="preserve">होय </t>
  </si>
  <si>
    <t xml:space="preserve">सर्वे/गट क्र.  ११६ </t>
  </si>
  <si>
    <t xml:space="preserve">भाडे कराराचा कालावधी  ३० वर्षासाठी </t>
  </si>
  <si>
    <t>अक्षांश 19.65923  रेखांश   74.68853</t>
  </si>
  <si>
    <t xml:space="preserve">ब)जागा मालकाचा प्रवर्ग </t>
  </si>
  <si>
    <t>सर्वसाधारण / इमाव/भ.जा/अ.जा./अ.ज.</t>
  </si>
  <si>
    <t>होय/ नाही (DIU अधिकाऱ्याचे प्रमाणपत्र द्यावे.)</t>
  </si>
  <si>
    <t>क)जागेवर अतिक्रमण आहे का?</t>
  </si>
  <si>
    <t xml:space="preserve"> प्रस्तावित जागेचा सध्या होत असलेला </t>
  </si>
  <si>
    <t>वापर.</t>
  </si>
  <si>
    <t xml:space="preserve">पिकाखाली </t>
  </si>
  <si>
    <t xml:space="preserve">पडीक </t>
  </si>
  <si>
    <t xml:space="preserve">औद्यगिक </t>
  </si>
  <si>
    <t xml:space="preserve">उप प्रकल्पासाठीची जागा संस्थेच्या मालकीची/भाडे कराराने निश्चित झाली असल्यास </t>
  </si>
  <si>
    <t xml:space="preserve">विद्युत पुरवठा उपलब्ध आहे का? </t>
  </si>
  <si>
    <t xml:space="preserve">होय/नाही </t>
  </si>
  <si>
    <t>वीज जोडणी कोणाच्या नावे आहे</t>
  </si>
  <si>
    <t xml:space="preserve">किरण विठ्ठल वेताळ
वीज जोडणीचा प्रकार :  सिंगल फेज / थ्री फेज 
किती क्षमतेचा आहे  १०० kv
</t>
  </si>
  <si>
    <t xml:space="preserve">प्रस्तावित उपप्रकल्पास पाणी पुरवठयाची आवश्यकता आहे का?   </t>
  </si>
  <si>
    <t>होय/नाही</t>
  </si>
  <si>
    <t xml:space="preserve">होय असल्यास उपलब्धतेचा तपशिल </t>
  </si>
  <si>
    <t>काय सुविधा आहे विहीर व बोअर</t>
  </si>
  <si>
    <t xml:space="preserve">किती महिने पाणी उपलब्ध असते १२ महिने </t>
  </si>
  <si>
    <t xml:space="preserve">होय /नाही </t>
  </si>
  <si>
    <t xml:space="preserve">प्रस्तावित प्रकल्पासाठी निवडलेल्या जागेसाठी दळणवळणाची सुविधा उपलब्ध आहे का? </t>
  </si>
  <si>
    <t xml:space="preserve">७. निवडलेल्या शेतमालाचा पुढील ५ वर्षातील एकत्रीकरण करण्यासाठीचे संस्थेचे नियोजन  </t>
  </si>
  <si>
    <t>१) शेतमाल खरेदी करण्या करिता टप्प्या टप्प्याने योग्य ठिकाणी संकलन केंद्र उभारणी करणे.</t>
  </si>
  <si>
    <t>२) शेतमाल खरेदी व विक्री करिता संस्थेच्या मालकीचे वाहने खरेदी करणे.</t>
  </si>
  <si>
    <t>४) संस्थेचे कार्याषेत्र व शेतकरी सभासद वाढवून ( २६२ वरून २००० ) उत्पादन शेत्रात वाढ करून जास्तीत जास्त  शेतकर्यांना शेतमालाची योग्य किमत मिळवून देणे.</t>
  </si>
  <si>
    <t xml:space="preserve">५)  उत्पादित शेतीमालाच संस्थे च्या ब्रान्ड ने विक्री व्यवस्था संपूर्ण महाराष्ट्र भर उभिकारणे </t>
  </si>
  <si>
    <t>३) शेतकर्यांना संबधित पिक उत्पादन वाढी करिता प्रशिषण व विद्यापीठाच्या तज्ञा मार्फत मार्गदर्शन व प्रशिषण देवून २०  शेत्रात वाढकरून १० उत्पादनात वाढ  घडवून आणणे.</t>
  </si>
  <si>
    <t>टक्के</t>
  </si>
  <si>
    <t>उत्पादन  (मे.टन)</t>
  </si>
  <si>
    <t>२०--ते --</t>
  </si>
  <si>
    <t>वार्षिक शेतमाल खरेदीची Quantity (मे.टन)</t>
  </si>
  <si>
    <t>शेतमालाचे नाव</t>
  </si>
  <si>
    <t xml:space="preserve">८. निवडलेल्या पिकाची प्रस्तावित पीकनिहाय मूल्यसाखळी :-  (मूल्यसाखळी कशी लिहावी हे प्रपत्रामध्ये विषद केलेले आहे.)  </t>
  </si>
  <si>
    <t xml:space="preserve">९. मूल्यसाखळी विकसित करण्यासाठी निवडलेल्या खरेदीदाराचा तपशिल </t>
  </si>
  <si>
    <t xml:space="preserve">विवरण </t>
  </si>
  <si>
    <t xml:space="preserve">9.१  करार (MoU) केलेल्या खरेदीदार संस्थेचा तपशिल </t>
  </si>
  <si>
    <t>खरेदीदार संस्थेचे नाव</t>
  </si>
  <si>
    <t xml:space="preserve">तपशिल </t>
  </si>
  <si>
    <t>पत्ता व संपर्क क्रमांक</t>
  </si>
  <si>
    <t xml:space="preserve">Gut 122, AT – Ranjankhol, Shrirampur Ahmednagar, Maharashtra 413720
Plot No.- 88, 706 Kesar Solitaire Palm Beach Road, Sector 19, Sanpada Navi Mumbai, Maharashtra 400705
</t>
  </si>
  <si>
    <t>खरेदीदाराच्या जबाबदार व्यक्तीचे नाव,पद, संपर्क क्रमांक व ई-मेल</t>
  </si>
  <si>
    <t xml:space="preserve">खरेदीदार संस्थेचा प्रकार </t>
  </si>
  <si>
    <t xml:space="preserve">१. प्रक्रिया उद्योजक 
२. निर्यातदार 
३. नोंदणीकृत खरेदीदार 
४. किरकोळ विक्री करणाऱ्या संस्था /कंपन्या (मॉल) उदा. डी-मार्ट, रीलायन्स ई.
५. इतर ----------
</t>
  </si>
  <si>
    <t xml:space="preserve">खरेदीदार नोंदणीकृत आहे का? </t>
  </si>
  <si>
    <t>होय  /  नाही</t>
  </si>
  <si>
    <t>होय असल्यास;कोणत्या कायद्यांतर्गत ---------------------</t>
  </si>
  <si>
    <t>नोंदणी/परवाना क्रमांक</t>
  </si>
  <si>
    <t xml:space="preserve">पॅन नंबर </t>
  </si>
  <si>
    <t xml:space="preserve">खरेदीदार संस्थेस असलेल्या शेतमालाची वार्षिक सरासरी गरज </t>
  </si>
  <si>
    <t>खरेदीदार संस्थेचे समुदाय आधारित संस्थेकडून शेतमाल खरेदी करण्याचे नियोजन (वर्ष २०-- ते -- )</t>
  </si>
  <si>
    <t xml:space="preserve">पिकाचे नाव  </t>
  </si>
  <si>
    <t xml:space="preserve">वर्ष </t>
  </si>
  <si>
    <t>शेतमाल (टन)</t>
  </si>
  <si>
    <t>वार्षीक उलाढाल रक्कम रूपये लाख (मागील तीन वर्षातील )</t>
  </si>
  <si>
    <t>20-- ते --</t>
  </si>
  <si>
    <t xml:space="preserve">८.२ खरेदी करावयाच्या शेतमालाची गुणवत्ता निकष </t>
  </si>
  <si>
    <t xml:space="preserve">(खरेदीदाराच्या मागणीनुसार गुणवत्तेचे सर्व निकष सविस्तर लिहावे. खरेदीच्या इतर अटी व  शर्ती जसे की, शेतमाल खरेदीदाराच्या कंपनी स्थळी पोहच करावयाचा की शेतबांधावर खरेदी करण्यात येणार आहे, पॅकेजिंग मटेरिअल, खरेदीदार पुरविणार आहे का? क्रेट/गोण्याची उपलब्धता इ. बाबी विस्ताराने नमुद कराव्यात.)   </t>
  </si>
  <si>
    <t>शेतमाल खरेदीचे निकष</t>
  </si>
  <si>
    <t>शेतमाल हस्तांतरणाच्या  अटी/शर्ती</t>
  </si>
  <si>
    <t xml:space="preserve">साफसफाई, प्रतवारी व पाकेजिंग केलेला उच्च गुणवत्तेचा खरेदीदाराच्या कंपनी मध्ये पोहोच विकणे </t>
  </si>
  <si>
    <t>शेतमालाचा वाण, गुणवत्ता १, गुणवत्ता २, गुणवत्ता ३ याप्रमाणे वर्गवारी, संकलन केंद्र पर्यंत शेतकर्यांनी पोहोच करणे</t>
  </si>
  <si>
    <t>गहू</t>
  </si>
  <si>
    <t>बाजरी</t>
  </si>
  <si>
    <t>ज्वारी</t>
  </si>
  <si>
    <t>मक्का</t>
  </si>
  <si>
    <t>हरभरा</t>
  </si>
  <si>
    <t xml:space="preserve">८.३ खरेदी करावयाच्या शेतमालाच्या दर निश्चितीची पध्दत </t>
  </si>
  <si>
    <t xml:space="preserve">(समुदाय आधारीत संस्था व खरेदीदार यांनी MoU नुसार केलेल्या दर निश्चितीची पध्दत नमुद करावी. दर        निश्चितीमध्ये स्पष्टता असावी.)  </t>
  </si>
  <si>
    <t>खरेदीदाराला खरेदी करावयाच्या दिवशी श्रीरामपूर मार्केटच्या भावापेक्ष्या २ टक्के जास्त दराने विक्री केले जाईल असे करारात नमूद केलेले आहे.</t>
  </si>
  <si>
    <t>निवडलेल्या पिकाची मूल्यसाखळी विकसित करण्यासाठी संस्था व खरेदीदारा कडील जबाबदारीचा तपशील</t>
  </si>
  <si>
    <t>खरेदीदाराची जबाबदारी</t>
  </si>
  <si>
    <t xml:space="preserve">संस्थेची जबाबदारी </t>
  </si>
  <si>
    <t>1. खरेदीदाराने करारात नमूद केल्या गुणवत्तेचा मालाचा पुरवठा करणे</t>
  </si>
  <si>
    <t>2. खरेदीदाराने ठावून दिलेल्या वेळेत शेतमालाचा पुरवठा करणे.</t>
  </si>
  <si>
    <t>3. वाहतूक करण्याची जबाबदारी संस्थेची असेल.</t>
  </si>
  <si>
    <t>4. सभासदांचा शेतमालाला बाजार भावापेक्ष्या ५ टक्के जास्तीने भाव देणे.</t>
  </si>
  <si>
    <t>5. शेतकर्यांना माशागत, पेरणी, काढणी करता साधन सामग्री वाजविदरात उपलब्ध करून देणे.</t>
  </si>
  <si>
    <t>6. वेळोवेळी शेतकर्यांना शेती संबधी प्रशिक्षण देणे</t>
  </si>
  <si>
    <t>1. खरेदीदराने करारात नमूद गुणवत्तेनुसार माल मिळाल्याची खातर जमा करून पोहोच देणे.</t>
  </si>
  <si>
    <t>2. खरेदीदराने कराराप्रमाणे संस्थेला बाजार भावापेक्ष्या २ टक्के जास्त दर देणे.</t>
  </si>
  <si>
    <t>3. खरेदीदराने संस्थेच्या विक्री अधिकाऱ्यांशी वेळोवेळी संपर्क साधून माल किती व केव्हा पोहोच करायचा याची माहिती देण्याची जबाबदारी खरेदीदाराची असेल.</t>
  </si>
  <si>
    <t>4. वाहतुकीचे भाडे खरेदीदार संस्थेस अदा करेल. खरेदीदाराने वाहतुकीची व्यवस्था करावी.</t>
  </si>
  <si>
    <t>5. खरेदीचे पैसे खरेदीदार संस्थेस ७ दिवसाच्या आत जमा करतील.</t>
  </si>
  <si>
    <t xml:space="preserve">टीप: वरील तक्त्यातील माहिती भरताना शेतमालाचे गुणवत्ता मापदंड / प्रमाण /वाहतूक / देयके/ तंत्रज्ञान इ. मुद्द्यांचा तपशिल बुलेट पौइंट मध्ये द्यावा. </t>
  </si>
  <si>
    <t xml:space="preserve">१०. प्रस्तावित व्यवसाय / उपक्रम </t>
  </si>
  <si>
    <t>शेरा</t>
  </si>
  <si>
    <t>व्यवसायाचा  वर्षातील कालावधी (दिवस )</t>
  </si>
  <si>
    <t>अ. क्र.</t>
  </si>
  <si>
    <t>काढणी पश्चात तंत्रज्ञानाचे घटक</t>
  </si>
  <si>
    <t>दुय्यम प्रक्रियेचे घटक</t>
  </si>
  <si>
    <t>गुणवत्ता पूर्ण उत्पादनासाठी</t>
  </si>
  <si>
    <t>विक्री व्यवस्थापनासाठीचे घटक</t>
  </si>
  <si>
    <t xml:space="preserve">इतर </t>
  </si>
  <si>
    <t>टीप: वरील तक्त्यातील आवश्यक घटक ठेऊन उर्वरित ओळी काढून टाकाव्यात.</t>
  </si>
  <si>
    <t xml:space="preserve">११. सदर उप-प्रकल्पाचे वेगळेपण व नाविन्यता काय आहे?   </t>
  </si>
  <si>
    <t>सदर प्रकल्पामुळे सभासद शेतकर्यांना मशागत, पेरणी, काढणी पर्यंतची  साधन सामग्री संस्था सवलतीच्या दारात उपलब्ध करून देईल, तसेच शेत माल वाहतूक करण्या करिता वाहने वाजविदरात उपलब्ध करून देईल, पीक काढणी नंतर खरेदीची हमी असेल त्यामुळे शेतकऱ्यांची दलालान कडून होणारी पिळवणूक थांबेल, शेतमालाची साठवणूक करण्या करिता वेअरहाउस ची व्याव्था करण्यात येणार असल्यामुळे शेतकर्यांना शेतमाल साठवून ठेवता येईल, त्यामुळे शेतकर्यांना भाजर भाव पेक्ष्या ५ टक्के ते १० टक्के पर्यंत जास्त भाव मिळेल , शिवाय संस्थेस होणार्या नफ्यावर दर वर्षी २५ टक्के प्रमाणे सभासद शेतकर्यांना लाभौंश वाटप करण्यात येईल, ग्रामीण भागात शेतमाल प्रक्रिया उद्योग उभे राहतील त्यातून ग्रामीण भागात रोजगार संधी उपलब्ध होतील. स्रियांना रोजगारात जास्त संधी दिली जाईल. स्रियांना शेमल उत्पादित करण्याकरिता प्रशिषण तसेच बिनव्याजी भांडवल संस्थे मार्फत दिले जाईल</t>
  </si>
  <si>
    <t xml:space="preserve">१२. प्रस्तावित व्यवसाय/उपक्रम चालविण्यासाठी आवश्यक बांधकाम, मशिनरी व इतर साहित्याचा तपशिल </t>
  </si>
  <si>
    <t>प्रस्तावित केलेले व्यवसाय/उपक्रम</t>
  </si>
  <si>
    <t xml:space="preserve">  क्षमता </t>
  </si>
  <si>
    <t xml:space="preserve">युनिट दर </t>
  </si>
  <si>
    <t xml:space="preserve">एकूण खर्च 
(रु.)
</t>
  </si>
  <si>
    <t>बांधकाम</t>
  </si>
  <si>
    <t xml:space="preserve">मशिनरी </t>
  </si>
  <si>
    <t xml:space="preserve">अन्य </t>
  </si>
  <si>
    <t>एकूण (अ)</t>
  </si>
  <si>
    <t xml:space="preserve">१३. समुदाय आधारीत संस्था व खरेदीदार यांनी एकत्रीतरित्या काम केल्याने होणारे फायदे नमुद करावेत </t>
  </si>
  <si>
    <t xml:space="preserve">समुदाय आधारीत संस्थेस 
होणारा फायदा
</t>
  </si>
  <si>
    <t xml:space="preserve">खरेदीदारास होणारा 
फायदा
</t>
  </si>
  <si>
    <t xml:space="preserve">सभासदांना होणारे 
फायदे
</t>
  </si>
  <si>
    <t>संस्थेस शेतमाल विक्री करण्या करिता ठोक खरेदीदार मिळतो. त्यामुळे विक्री व्यवस्थेवर होणारा खर्च कमी होईल. तसेच खरेदीदाराकडून बाजार भाव पेक्ष्या २% जास्तीना दर देण्याचे करार असल्या मुले संस्थेचा फायदा होईल</t>
  </si>
  <si>
    <t>खरेदीदारास हवा असलेल्या गुणवत्तेचा शेतमाल संस्था पुरविणार असल्या कारणाने खरेदीदाराला योग्य गुणवत्तेचा माल एकाच ठिकाणी मिळेल त्यामुळे खरेदीदाराचे हि वाहतूक खर्च कमी होतील व खरेदी वरील मनुष्बळ खर्च कमी होतील</t>
  </si>
  <si>
    <t>संस्था सभासदना शेतमालवर बाजार भावापेक्ष्या जास्त दर मिळेल , तसेच अडत हमाली कपात होणार  नाही त्यामुळे दलाला कडून होणारी पिळवणूक कमी होईल. शेतकर्यांना खाते, बी बियाणे, मशागतीचे साहित्य, काढणीचे साहित्य माफक दारात व वेळेवर मिळतील, तसेच सभासदांना दर वर्षी संस्थेला होणार्या नफ्या वरती २५% प्रमाणे लाभौंश मिळेल. शेती संबंधी वेळोवेळी प्रशिक्षण मिळेल. सभासदांना संस्थेत रोजगाराकरिता प्राधान्य मिळेल.</t>
  </si>
  <si>
    <t xml:space="preserve">14. नियोजित व्यवसाय प्रकल्पात महिलांचा सहभाग वाढ विण्यासाठी कसे प्रयत्न करण्यात येतील? </t>
  </si>
  <si>
    <t xml:space="preserve">संस्थे मार्फत महिलांचे बचत गट स्थापन करून त्यांना विषमुक्त शेतमाल पिकाविण्याचे प्रशिक्षण दिले जाईल तसेच बी बियाणे , मशागत, पेरणी, काढणी साधन सामग्री स्रीयांना सवलतीच्या दारात संस्था उपलब्ध करून देईल. व त्यांचा शेतमाल बाजार भावापेक्ष्या ५% - १० %  जास्त दराने संस्था खरेदी करेल. स्रीयांना प्रक्रिया उद्योगात रोजगार उपलब्ध होवा म्हणून संस्था स्रीयांना प्रथम प्राधान्य देईल, जास्तीत जास्त स्रीयांना सभासद करण्यात येईल. ज्या महिलांना किंवा महिला बचत गटांना शेतमाल पिकावण्याचा असेल त्यांना संस्था शेत जमीन भाडे तत्वावर मिळवून देईल व प्राथमिक भांडवल महिलांना बिनव्याजी स्वरुपात उपलब्ध करून देईल.  </t>
  </si>
  <si>
    <t>वर्ष १(तिमाही)</t>
  </si>
  <si>
    <t>वर्ष २ (तिमाही)</t>
  </si>
  <si>
    <t>वर्ष ३ (तिमाही)</t>
  </si>
  <si>
    <t>महत्वाची कामे</t>
  </si>
  <si>
    <t xml:space="preserve">भाग - ४  उपप्रकल्पाच्या अंमलबजावणीचे नियोजन </t>
  </si>
  <si>
    <t xml:space="preserve">४.१ अंमलबजावणी टप्प्यातील महत्वाची कामे व त्याचे वेळापत्रक . </t>
  </si>
  <si>
    <t xml:space="preserve">बांधकाम </t>
  </si>
  <si>
    <t xml:space="preserve">मशिनरी खरेदी व उभारणी </t>
  </si>
  <si>
    <t xml:space="preserve">क्षमता बांधणी व प्रशिक्षण </t>
  </si>
  <si>
    <t>व्यवसाय कार्यान्वित करणे</t>
  </si>
  <si>
    <t>टीप: अंमलबजावणी टप्प्यातील कामांची सु-सुत्रता लक्षात घेऊन कामांची आखणी व प्राधान्य क्रम निश्चित करावा.</t>
  </si>
  <si>
    <t>भाग -५ उप-प्रकल्पासाठीचा खर्च (सब प्रोजेक्ट बजेट ) आणि आर्थिक विश्लेषण</t>
  </si>
  <si>
    <t xml:space="preserve">५.१ उप-प्रकल्पासाठीचा खर्च (सब प्रोजेक्ट बजेट ) व निधीच्या स्त्रोताचा तपशिल    </t>
  </si>
  <si>
    <t>५.१.१ उप-प्रकल्पाचा खर्च (सब प्रोजेक्ट बजेट )</t>
  </si>
  <si>
    <t>प्रस्तावित घटक/बाब</t>
  </si>
  <si>
    <t xml:space="preserve">युनिट दर 
(रु.)
</t>
  </si>
  <si>
    <t>इमारत आणि बांधकाम  कार्य</t>
  </si>
  <si>
    <t>यंत्र आणि उपकरणे</t>
  </si>
  <si>
    <t>फर्निचर आणि फिक्स्चर</t>
  </si>
  <si>
    <t xml:space="preserve">माहिती व तंत्रज्ञान विषयीच्या सुविधा </t>
  </si>
  <si>
    <t>प्रारंभिक आणि पूर्व संचालना दरम्यानचा खर्च (preliminary and preoperative )</t>
  </si>
  <si>
    <t xml:space="preserve">५.१.२ निधीच्या स्त्रोताचा तपशिल </t>
  </si>
  <si>
    <t>योगदान %</t>
  </si>
  <si>
    <t xml:space="preserve">रक्कम
(रु.)
</t>
  </si>
  <si>
    <t>घटक</t>
  </si>
  <si>
    <t>अनु. क्र.</t>
  </si>
  <si>
    <t>स्मार्ट प्रकल्पातून मधून प्राप्त होणारे अनुदान</t>
  </si>
  <si>
    <t>संस्थेचा स्व:ताचा वाटा</t>
  </si>
  <si>
    <t>बॅंक कर्ज</t>
  </si>
  <si>
    <t>एकुण</t>
  </si>
  <si>
    <t>*अर्जदार आवश्यक वाटल्यास बँकेकडून कर्ज घेऊ शकतो. (स्मार्ट प्रकल्पांतर्गत बँकेकडून कर्ज घेणे बंधनकारक नाही)</t>
  </si>
  <si>
    <t xml:space="preserve">५.२ आर्थिक विश्लेषण </t>
  </si>
  <si>
    <t>५.२.१ प्रकल्प खर्च :</t>
  </si>
  <si>
    <t>जमिन</t>
  </si>
  <si>
    <t xml:space="preserve">स्मार्ट प्राप्त होणाऱ्या एकूण अनुदानाची रक्कम
(रु.)
</t>
  </si>
  <si>
    <t>* स्मार्ट प्रकल्पातून प्राप्त होणारे अनुदान  (टक्केवारी )</t>
  </si>
  <si>
    <t xml:space="preserve">* वरील तक्त्यात देण्यात आलेल्या अनुदानाची टक्केवारी/रक्कम ही अंदाजे दर्शविण्यात आली आहे .सदरची रक्कम स्मार्ट राज्यस्तरीय उपप्रकल्प मंजुरी समितीच्या (State Proposal Approval Committee) अंतिम निर्णयानुसार बदलू शकते </t>
  </si>
  <si>
    <t xml:space="preserve">५.२.२  घसारा अंदाज </t>
  </si>
  <si>
    <t>वर्ष १</t>
  </si>
  <si>
    <t xml:space="preserve"> घटक </t>
  </si>
  <si>
    <t>अनु. क्र</t>
  </si>
  <si>
    <t>वर्ष २</t>
  </si>
  <si>
    <t>वर्ष ३</t>
  </si>
  <si>
    <t>वर्ष ४</t>
  </si>
  <si>
    <t>वर्ष ५</t>
  </si>
  <si>
    <t>वर्ष ६</t>
  </si>
  <si>
    <t>वर्ष ७</t>
  </si>
  <si>
    <t xml:space="preserve"> जमिन</t>
  </si>
  <si>
    <t>प्रति वर्ष घसारा दर</t>
  </si>
  <si>
    <t xml:space="preserve">ओपनिंग </t>
  </si>
  <si>
    <t xml:space="preserve">क्लोजिंग  </t>
  </si>
  <si>
    <t xml:space="preserve"> यंत्र आणि उपकरणे</t>
  </si>
  <si>
    <t xml:space="preserve"> फर्निचर आणि फिक्स्चर</t>
  </si>
  <si>
    <t>माहिती व तंत्रज्ञान विषयीच्या सुविधा</t>
  </si>
  <si>
    <t>ओपनिंग रक्कम</t>
  </si>
  <si>
    <t xml:space="preserve">एकुण घसारा निधी </t>
  </si>
  <si>
    <t>शिल्लक मालमत्ता</t>
  </si>
  <si>
    <t>*गणना सहजतेने करण्यासाठी स्ट्रेट लाइन मेथड / सरळ रेषा पध्दती सुचविण्यात येत आहे.</t>
  </si>
  <si>
    <t>५.२.३  प्रारंभिक आणि पूर्व संचालनासाठी आलेल्या खर्चाचे अमोरटायझेशन (परिशोधन)</t>
  </si>
  <si>
    <t>अंतिम खाते (प्रारंभिक खाते – परिशोधन रक्कम)</t>
  </si>
  <si>
    <t xml:space="preserve">अमोरटायझेशन रक्कम </t>
  </si>
  <si>
    <t>प्रति वर्ष अमोरटायझेशन चा दर</t>
  </si>
  <si>
    <t>प्रारंभिक खाते</t>
  </si>
  <si>
    <t>वर्ष  १</t>
  </si>
  <si>
    <t>वर्ष  ३</t>
  </si>
  <si>
    <t>*गणना सहजतेने करण्यासाठी स्ट्रेट लाइन मेथड / सरळ रेषा पध्दती सुचविण्यात येत आहे .</t>
  </si>
  <si>
    <t xml:space="preserve">५.२.४  बँक कर्ज परतफेडीचा तपशिल </t>
  </si>
  <si>
    <t xml:space="preserve">कर्जाची रक्कम :                                         </t>
  </si>
  <si>
    <t xml:space="preserve">वार्षिक व्याज दर :             </t>
  </si>
  <si>
    <t>कर्ज कालावधी (वर्षांमध्ये ) :</t>
  </si>
  <si>
    <t xml:space="preserve">मोरेटोरियम कालावधी (वर्षांमध्ये) : </t>
  </si>
  <si>
    <t>वर्ष</t>
  </si>
  <si>
    <t xml:space="preserve">मुद्दल  </t>
  </si>
  <si>
    <t xml:space="preserve">कमी होणारी मुद्दलाची  रक्कम  </t>
  </si>
  <si>
    <t xml:space="preserve">व्याज </t>
  </si>
  <si>
    <t xml:space="preserve"> ५.२.५ व्यवसायातून मिळणाऱ्या वार्षिक महसूल आणि होणा-या खर्चाचा तपशिल </t>
  </si>
  <si>
    <t xml:space="preserve">प्रस्तावित सुविधा/ उपक्रमाचा तपशिल </t>
  </si>
  <si>
    <t>क्षमता</t>
  </si>
  <si>
    <t xml:space="preserve">वार्षिक उत्पन्न @ १००% क्षमता </t>
  </si>
  <si>
    <t>वार्षिक चल(variable)  किंमत  @ १०० % क्षमता</t>
  </si>
  <si>
    <t xml:space="preserve">वार्षिक स्थिर (Fix) @ १०० % क्षमता किंमत </t>
  </si>
  <si>
    <t>वार्षिक स्थिर(Fix)</t>
  </si>
  <si>
    <t>वार्षिक चल(variable)</t>
  </si>
  <si>
    <t>वार्षिक उत्पन्न</t>
  </si>
  <si>
    <t>प्रस्तावित सुविधा/ उपक्रमाचा तपशिल</t>
  </si>
  <si>
    <t>अ.क्र</t>
  </si>
  <si>
    <t xml:space="preserve"> व्यवस्थापकाचा पगार - (१ X १२ महिने X ३०,००० रु./महिना  = ३,६०,००० रु.)
 इतर कर्मचाऱ्यांचा पगार  – (४ X १२ महिने X १५,०००/महिना = ७,२०,००० रु.)
 वीज – (१०० kVA X १२ महिने X १५० रु/ kVA = १,८०,००० रु.)
 जागेचे भाडे  – (१०,००० रु. X १२ महिने = Rs. १,२०,००० रु.)
 देखभाल दुरुस्ती –  (१०,००० रु. X १२ महिने = Rs. १,२०,००० रु.)
एकूण खर्च = १५,००,००० रु. 
</t>
  </si>
  <si>
    <t xml:space="preserve"> कच्चा माल – तूर (६०० मे.टन X ४५,००० रु.= २,७०,००,००० रु.)
 कच्चा माल - चना (४०० मे.टन  X  ३५,००० रु/मे.टन  = १,४०,००,००० रु.)
 मजूर – (१० मजूर X २०० दिवस X ३०० रु/दिवस = ६,००,००० रु.)
 वीज- (१०० युनिट X २०० दिवस X १० रु./युनिट = २,००,००० रु.)
 पॅकेजिंग साहित्य – (३०० रु./मे.टन X १००० मे.टन = ३,००,००० रु.)
एकूण खर्च = ४,२१,००,००० रु. 
</t>
  </si>
  <si>
    <t xml:space="preserve">मिल - २०० दिवस कार्यरत  (५ तास प्रती दिवस या प्रमाणे )
 तूर - १२० दिवस प्रक्रियेसाठी लागणारा कच्चा माल - ६०० मे.टन 
• प्रक्रियेनंतर तयार होणारी तूरडाळ  (एकूण कच्च्या मालाच्या ७०%)-
(४२० मे.टन X रु. ७०००० रु. /मे.टन =२,९४,००,००० रु.)  
• तयार होणारी इतर उत्पादने  ३०% - (१८० मे.टन  X १५,००० रु.  = २७,००,००० रु.)
 चना – ८० दिवस प्रक्रियेसाठी लागणारा कच्चा माल – ४०० मे.टन
• प्रक्रियेनंतर तयार होणारी चना दाळ (कच्चा मालाच्या ७५%)-
(३०० मे.टन X ५५,००० रु. /मे.टन 
=१,६५,००,००० रु.)  
• तयार होणारी इतर उत्पादने २५% - (१०० मे.टन  X १५,००० रु.  = रु. १५,००,००० रु.)
एकूण उत्पन्न =५,०१,००,००० रु. 
</t>
  </si>
  <si>
    <t xml:space="preserve"> १ टन प्रति तास  (टी.पी.एच) </t>
  </si>
  <si>
    <t xml:space="preserve">दाल मिल 
(Dal mill)
</t>
  </si>
  <si>
    <t xml:space="preserve"> व्यवस्थापकाचा पगार - (१ X १२ महिने X ३०,००० </t>
  </si>
  <si>
    <t> कच्चा माल – गहू (५०० मे.टन X १६,००० रु.= ८०,००,००० रु.)</t>
  </si>
  <si>
    <t>युनिट  - २०० दिवस कार्यरत  (५ तास प्रती दिवस या प्रमाणे )</t>
  </si>
  <si>
    <t xml:space="preserve">१)साफसफाई व प्रतवारी </t>
  </si>
  <si>
    <t>व्यापार (trading)</t>
  </si>
  <si>
    <t xml:space="preserve">रु./महिना  = ३,६०,००० रु.)
 इतर कर्मचाऱ्यांचा पगार  – (४ X १२ महिने X १५,०००/महिना = ७,२०,००० रु.)
 वीज – (५० kVA X १२ महिने X १५० रु/ kVA = ९०,००० रु.)
 जागेचे भाडे  – (५००० रु. X १२ महिने = Rs. ६०,००० रु.)
 देखभाल दुरुस्ती –– (५००० रु. X १२ महिने = Rs. ६०,००० रु)
एकूण खर्च = १२,९०,००० रु. 
</t>
  </si>
  <si>
    <t xml:space="preserve"> कच्चा माल – गहू (५०० मे.टन X १६,००० रु.= ८०,००,००० रु.)
 कच्चा माल – मुग (५०० मे.टन  X  ५३,००० रु/मे.टन  = २,६५,००,००० रु.)
 मजूर – (८ मजूर X २०० दिवस X ३०० रु/दिवस = ४,८०,००० रु.)
 वीज- (५० युनिट X २०० दिवस X १० रु./युनिट = १,००,००० रु.)
 पॅकेजिंग साहित्य – (३०० रु./मे.टन X १००० मे.टन = ३,००,००० रु.)
एकूण खर्च = ३,५३,८०,००० रु. 
</t>
  </si>
  <si>
    <t xml:space="preserve">१. गहू – १०० दिवस प्रक्रियेसाठी लागणारा कच्चा माल – ५०० मे.टन 
#ग्रेड  १ – गहू  ७०% - (३५० मे.टन X रु. २०, ००० रु. /मे.टन =७०,००,००० रु.)
#ग्रेड  २ – गहू  ३०% - (१५० मे.टन X रु. १७,००० रु. /मे.टन =२५,५०,००० रु.)
२. मुग – १०० दिवस प्रक्रियेसाठी लागणारा कच्चा माल – ५०० मे.टन 
#ग्रेड  १ – मुग  ७५% - (३७५ मे.टन X रु. ६०,००० रु. /मे.टन =२,२५,००,००० रु.)
#ग्रेड  २ – मुग  २५% - (१२५ मे.टन X रु. ५०,००० रु. /मे.टन =६२,५०,००० रु.)
एकूण उत्पन्न = Rs. ३,८३,००,००० रु. 
</t>
  </si>
  <si>
    <t xml:space="preserve">युनिट -  १ टी.पी.एच
२)एकत्रीकरण केंद्र – २० मे.टन 
</t>
  </si>
  <si>
    <t xml:space="preserve">
व्यापार (trading)
शेतमालाचे संकलन, साफसफाई  व प्रतवारी, आणि घाऊक विक्री 
</t>
  </si>
  <si>
    <t>५.२.६  प्रस्तावित नफा व तोटा पत्रक  (Projected Profit &amp; Loss Statement)</t>
  </si>
  <si>
    <t>क्षमता उपयोग (Capacity Utilization)</t>
  </si>
  <si>
    <t>उत्पन्न (Income)</t>
  </si>
  <si>
    <t>सुविधा – 1</t>
  </si>
  <si>
    <t>सुविधा – 2</t>
  </si>
  <si>
    <t>सुविधा – 3</t>
  </si>
  <si>
    <t>स्थिर खर्च (Fixed cost)</t>
  </si>
  <si>
    <t>चल खर्च (बदलणारा) (variable cost)</t>
  </si>
  <si>
    <t xml:space="preserve">मिळकत – (व्याज, घसारा व करा पूर्वीची )  </t>
  </si>
  <si>
    <t>घसारा (Depreciation)</t>
  </si>
  <si>
    <t>व्याज (Interest)</t>
  </si>
  <si>
    <t>नफा – करा पुर्वीचा  (Profit before tax)</t>
  </si>
  <si>
    <t>आयकर (Income Tax)</t>
  </si>
  <si>
    <t xml:space="preserve"> नफा – कररा नंतरचा (Profit after tax)</t>
  </si>
  <si>
    <t>एकत्रित नफा (Cumulative Profits)</t>
  </si>
  <si>
    <t>५.२.७  प्रस्तावित वित्त प्रवाह पत्रक (Cash Flow Statement Projection)</t>
  </si>
  <si>
    <t xml:space="preserve">तपशील </t>
  </si>
  <si>
    <t xml:space="preserve">कॅश इन फ्लो </t>
  </si>
  <si>
    <t>खेळते भांडवल कर्ज (Working Capital loan)</t>
  </si>
  <si>
    <t>समभाग/ भाग भांडवल (Equity/ Share capital)</t>
  </si>
  <si>
    <t>अनुदान – स्मार्ट प्रकल्पांतर्गत (Smart Subsidy)</t>
  </si>
  <si>
    <t>मुदत कर्ज (Term Loan)</t>
  </si>
  <si>
    <t xml:space="preserve">  एकूण  (अ) </t>
  </si>
  <si>
    <t xml:space="preserve">कॅश आउट फ्लो </t>
  </si>
  <si>
    <t>भांडवली खर्च (Capital Expenditure)</t>
  </si>
  <si>
    <t>संचालनाचा चालू खर्च (Revenue Expenditure)</t>
  </si>
  <si>
    <t>स्थिर खर्च  (व्याज वगळता)( Fixed Cost (Excl. Of Interest))</t>
  </si>
  <si>
    <t>चल खर्च (बदलणारा)( Variable Cost)</t>
  </si>
  <si>
    <t>कर्ज परतफेड (Loan Repayment)</t>
  </si>
  <si>
    <t>खेळते भांडवल कर्जावरील व्याज (Working capital loan - interest)</t>
  </si>
  <si>
    <t>भांडवली कर्जाचा हप्ता आणि व्याज (capital loan – installment and interest)</t>
  </si>
  <si>
    <t xml:space="preserve">एकूण (ब) </t>
  </si>
  <si>
    <t>निव्वळ रोख प्रवाह (अ-ब)</t>
  </si>
  <si>
    <t>प्रारंभिक रोख आणि बँक (Opening Cash and Bank)</t>
  </si>
  <si>
    <t>एकत्रित रोख शिल्लक  (Cumulative Cash Balance)</t>
  </si>
  <si>
    <t xml:space="preserve">५.२.८  प्रस्तावित ताळेबंद (Balance Sheet Statement Projection)  </t>
  </si>
  <si>
    <t xml:space="preserve"> तपशिल </t>
  </si>
  <si>
    <t>मालमत्ता (ASSETS)</t>
  </si>
  <si>
    <t>सद्यस्थितील  मालमत्ता(Current Assets)</t>
  </si>
  <si>
    <t>रोख आणि बँक शिल्लक (Cash and Bank Balance)</t>
  </si>
  <si>
    <t>खात्यात येणे बाकी (Accounts Receivables)</t>
  </si>
  <si>
    <t>इतर सद्यस्थितील  मालमत्ता (Other Current Assets)</t>
  </si>
  <si>
    <t>एकूण सद्यस्थितील  मालमत्ता (Total Current Assets)</t>
  </si>
  <si>
    <t>ढोबळ स्थिर मालमत्ता (Gross Fixed Assets)</t>
  </si>
  <si>
    <t>कमी : घसारा (Less: Depreciation)</t>
  </si>
  <si>
    <t>निव्वळ स्थिर मालमत्ता (Net Fixed Assets)</t>
  </si>
  <si>
    <t xml:space="preserve">प्रारंभिक आणि पूर्व संचालनासाठीचा खर्च (prelimeinery and preoperative expenditure) </t>
  </si>
  <si>
    <t>एकूण मालमत्ता (TOTAL ASSETS)</t>
  </si>
  <si>
    <t>देयता  आणि  भागधारक समभाग 
(LIABILITIES &amp; SHAREHOLDERS EQUITY)</t>
  </si>
  <si>
    <t>सद्यस्थितील देयता (CURRENT LIABILITIES)</t>
  </si>
  <si>
    <t>अल्प मुदत देय (Short Term Debt)</t>
  </si>
  <si>
    <t xml:space="preserve">देय खाती व  जमा खर्च 
(Accounts Payable &amp; Accrued Expenses)
</t>
  </si>
  <si>
    <t xml:space="preserve">इतर चालू देय </t>
  </si>
  <si>
    <t>एकूण चालू देयता (Total Current Liabilities)</t>
  </si>
  <si>
    <t>दीर्घकालीन  देय  (Long Term Debt)</t>
  </si>
  <si>
    <t>स्थगित कर देयता (Differed Tax Liabilities)</t>
  </si>
  <si>
    <t>एकूण देयता (TOTAL LIABILITIES)</t>
  </si>
  <si>
    <t>भाग भांडवल (Share capital)</t>
  </si>
  <si>
    <t>स्मार्ट मधून प्राप्त होणारे अनुदान (Smart Grant-in-aid)</t>
  </si>
  <si>
    <t>राखीव व अधिशेष  (Reserves and Surplus)</t>
  </si>
  <si>
    <t xml:space="preserve">जोडा: प्रारंभिक शिल्लक (नफा आणि तोटा खाते) 
Opening Balance (P/L Account)
</t>
  </si>
  <si>
    <t xml:space="preserve">(नफा व तोटा) वर्षाच्या दरम्यान -
(Profit &amp; Loss) During the Year
</t>
  </si>
  <si>
    <t>विनियोग – लाभांश (Appropriation – Dividend)</t>
  </si>
  <si>
    <t>एकूण राखीव रोख (Total Reserves)</t>
  </si>
  <si>
    <t xml:space="preserve">एकूण समभाग (TOTAL EQUITY) </t>
  </si>
  <si>
    <t>एकूण देयता व समभाग (TOTAL LIABILITIES &amp; EQUITY)</t>
  </si>
  <si>
    <t>५.२.९ प्रमुख आर्थिक निर्देशके (Key financial indicators)</t>
  </si>
  <si>
    <t xml:space="preserve">• रिटर्न  ऑन कॅपिटल एम्प्लॉईड (भांडवलाववरील परतावा) </t>
  </si>
  <si>
    <t>• नेट प्रेझेंट व्हॅल्यू (निव्वळ वर्तमान मूल्य)–</t>
  </si>
  <si>
    <t xml:space="preserve">• इटरनल रेट ऑफ रिटर्न (अंतर्गत परतावा दर) </t>
  </si>
  <si>
    <t>• पे बॅक पिरियड ( प्रोजेक्ट / इक्यूटी ) (परताव्याचा कालावधी )</t>
  </si>
  <si>
    <t>• रिटर्न  ऑन  इक्विटी  (मूळ भांडवलावरील परतावा )</t>
  </si>
  <si>
    <t xml:space="preserve">• डी. एस. सी. आर. (डेट सर्व्हिस कव्हरेज रेशो.- कर्ज सेवा व्याप्ती प्रमाण) </t>
  </si>
  <si>
    <t>• ब्रेक इव्हन पॉईंट़ (ना नफा व ना तोटा बिंदू / ब्रेक इव्हन ‍बिंदू)</t>
  </si>
  <si>
    <t>• सेन्सिटीविटी अन्यालीसीस (संवेदनशीलता पृथकरण )</t>
  </si>
  <si>
    <t xml:space="preserve">भाग 6  : गृहितके </t>
  </si>
  <si>
    <t xml:space="preserve">6.१ गृहीतके </t>
  </si>
  <si>
    <t>प्रत्येक व्यवसायाच्या आर्थिक विश्लेषणासाठी आवश्यक गृहीतके. सदरची माहिती व्यवसायाचे स्वरूप पाहून संबंधीत अर्जदारांने भरावी.   (उप प्रकल्पातर्गत समाविष्ट केलेल्या प्रत्येक व्यवसायासाठी / सुविधेसाठी खालील माहिती स्वतंत्रपणे भरावी. उदा. एखादया संस्थेने दाल मिल व शेतमाल संकलन, स्वच्छता व प्रतवारी आणि घाऊक विक्री करण्याचे निश्चित केले असेल तर खालील पत्रकात यान दोन्ही उपक्रमाची/सुविधेची माहिती स्वतंत्रपणे दयावी.)</t>
  </si>
  <si>
    <t xml:space="preserve">१. सुविधेची/ व्यवसायाची सर्वसाधारण माहिती </t>
  </si>
  <si>
    <t>बाब</t>
  </si>
  <si>
    <t>सुविधेचे/व्यवसायाचे नाव :</t>
  </si>
  <si>
    <t>अग्रोबाबा प्रोडुसर कंपनी लिमिटेड</t>
  </si>
  <si>
    <t>सुविधेच्या स्थापनेसाठी आवश्यक जागा</t>
  </si>
  <si>
    <t xml:space="preserve">सुविधेची क्षमता </t>
  </si>
  <si>
    <t xml:space="preserve">दिवसातील किती तास सदरची सुविधा कार्यरत राहणार आहे </t>
  </si>
  <si>
    <t xml:space="preserve">मशीनरी व इतर उपकरणासाठीची भांडवली गुंतवणूक </t>
  </si>
  <si>
    <t>इमारत बांधकाम व इतर भागासाठीची गुंतवणूक (बांधकामाच्या अंदाजपत्रकानुसार)</t>
  </si>
  <si>
    <t xml:space="preserve">वर्षातील किती दिवस सदर सुविधा कार्यरत राहणार आहे </t>
  </si>
  <si>
    <t>२. उपरोक्त सुविधेतून मिळणा­या महसुलाचा तपशील.</t>
  </si>
  <si>
    <t xml:space="preserve">उत्पादनाचे नाव </t>
  </si>
  <si>
    <t>एकक</t>
  </si>
  <si>
    <t>घाऊक विक्रीचा दर(रु.--------/ एकक)</t>
  </si>
  <si>
    <t>किरकोळ विक्रीचा दर(रु.------/ एकक)</t>
  </si>
  <si>
    <t>३. सुविधेसाठी लागणाऱ्या कच्च्या मालाचा खर्च.</t>
  </si>
  <si>
    <t>खरेदीची किमत (क्विटल/रु.)</t>
  </si>
  <si>
    <t>४. व्यवस्थापक पदावरील कर्मचा-याच्या  पगारावरील खर्च</t>
  </si>
  <si>
    <t>पगार प्रती महिना</t>
  </si>
  <si>
    <t>संख्या</t>
  </si>
  <si>
    <t>पद</t>
  </si>
  <si>
    <t>५. आवश्यक कामगारांवरील खर्च</t>
  </si>
  <si>
    <t>मानधन /प्रति दिन</t>
  </si>
  <si>
    <t>कामगारांचा प्रकार</t>
  </si>
  <si>
    <t>कुशल</t>
  </si>
  <si>
    <t>अर्धकुशल</t>
  </si>
  <si>
    <t>अकुशल</t>
  </si>
  <si>
    <t xml:space="preserve">भाडे महिना /रु </t>
  </si>
  <si>
    <t>जागा भाडे</t>
  </si>
  <si>
    <t>इतर .................</t>
  </si>
  <si>
    <t xml:space="preserve">७. सुविधा चालविण्यासाठी येणारा वीज बिलावरील खर्च </t>
  </si>
  <si>
    <r>
      <t>६.</t>
    </r>
    <r>
      <rPr>
        <b/>
        <sz val="7"/>
        <color theme="1"/>
        <rFont val="Times New Roman"/>
        <family val="1"/>
      </rPr>
      <t xml:space="preserve">    </t>
    </r>
    <r>
      <rPr>
        <b/>
        <sz val="12"/>
        <color theme="1"/>
        <rFont val="Arial Unicode MS"/>
        <family val="2"/>
      </rPr>
      <t xml:space="preserve">सुविधेसाठी आवश्यक जागेच्या भाडे करिता येणारा खर्च </t>
    </r>
  </si>
  <si>
    <t>प्रती युनिटचा खर्च दर रु/युनिट</t>
  </si>
  <si>
    <t>प्रती तास युनिटचा वापर</t>
  </si>
  <si>
    <t>सर्व मशिनरी व उपकरणाचे एकत्रित हॉर्स पॉवर</t>
  </si>
  <si>
    <t xml:space="preserve">8. सुविधेच्या देखभाल व दुरुस्तीवरील खर्च  </t>
  </si>
  <si>
    <t>मशिनरी, इमारत, उपकरणे इ. ची देखभाल व दुरुस्ती</t>
  </si>
  <si>
    <t>&lt;60%</t>
  </si>
  <si>
    <t>9. उत्पादनाच्या निर्मितीसाठी आवश्यक इतर कनझ्यूमेबल</t>
  </si>
  <si>
    <t>कनझ्यूमेबल (इतर घटक)</t>
  </si>
  <si>
    <t>युनिट</t>
  </si>
  <si>
    <t>एकूण आवश्यक युनिट</t>
  </si>
  <si>
    <t>खर्च रु./युनिट</t>
  </si>
  <si>
    <t>टीप: उदा.- खाण्याचे तेल/साखर, मीठ इ.</t>
  </si>
  <si>
    <t xml:space="preserve">10.  पॅकेजिंग साहित्यावर होणारा खर्च </t>
  </si>
  <si>
    <t>साहित्याचा प्रकार</t>
  </si>
  <si>
    <t>साहित्याचे आकारमान</t>
  </si>
  <si>
    <t>खर्च (रु./युनिट )</t>
  </si>
  <si>
    <t>11.   मालाच्या साठवणूकीवरील खर्च</t>
  </si>
  <si>
    <t>साठवणुकीचा दर रु./प्रती क्विटल प्रती महिना</t>
  </si>
  <si>
    <t>साठवणूकीचा एकूण कालावधी (महिना)</t>
  </si>
  <si>
    <t>12.  इतर खर्चाचा तपशील</t>
  </si>
  <si>
    <t xml:space="preserve">रुपये प्रति महिना </t>
  </si>
  <si>
    <t>1. उप प्रकल्पातर्गत समाविष्ट केलेल्या प्रत्येक व्यवसायासाठी / सुविधेसाठी खालील माहिती स्वतंत्रपणे भरावी. उदा. एखादया संस्थेने दाल मिल व शेतमाल संकलन, स्वच्छता व प्रतवारी आणि घाऊक विक्री करण्याचे निश्चित केले असेल तर खालील पत्रकात या दोन्ही उपक्रमाची/सुविधेची माहिती स्वतंत्रपणे दयावी.</t>
  </si>
  <si>
    <t>2. अर्जदार संस्थेने उपरोक्त माहिती भरण्यासाठी कोटेशन अंदाजपत्रक, मार्केट सर्व्हे अहवाल इत्यादीचा वापर करावा.</t>
  </si>
  <si>
    <t>3. सविस्तर प्रकल्प अहवाल निर्मिती दरम्यान संबंधित प्रकल्पाचे अधिकारी व कर्मचा­यानी आवश्यकतेनुसार अर्जदाराशी चर्चा करून अधिकची माहिती घेणे अपेक्षीत आहे.</t>
  </si>
  <si>
    <t xml:space="preserve">६.२ : इतर गृहीतके </t>
  </si>
  <si>
    <t xml:space="preserve">1. संस्थेच्या सभासदांचा व्यवसायातील वर्ष निहाय सहभाग  </t>
  </si>
  <si>
    <t>2. विविध वर्षासाठी उत्पादन अंदाज</t>
  </si>
  <si>
    <t xml:space="preserve">3. सरासरी घसारा –यंत्र सामुग्री, इमारत, आय टी इन्फ्रा. </t>
  </si>
  <si>
    <t xml:space="preserve">4. दीर्घ व अल्प मुदतीच्या कर्जाचे व्याजदर </t>
  </si>
  <si>
    <t xml:space="preserve">5. वीज, विमा </t>
  </si>
  <si>
    <t xml:space="preserve">6. विक्री सुलभीकरणाची रक्कम </t>
  </si>
  <si>
    <t xml:space="preserve">7. करपात्र रकमेवरील आयकर </t>
  </si>
  <si>
    <t>नाही</t>
  </si>
  <si>
    <t>उप-प्रकल्प क्षेत्र अनुसूचित Schedule V[2] (आदिवासी) क्षेत्रामध्ये आहे का?</t>
  </si>
  <si>
    <t>उप-प्रकल्पांमध्ये  विशेषतः असुरक्षित आदिवासी गट (Particularly Vulnerable Tribal Groups) आहेत का?[3]</t>
  </si>
  <si>
    <t>उप-प्रकल्प क्षेत्र डावे विंग अतिरेकी[4]/नक्षलवादी (Left Wing Extremism) क्षेत्रामध्ये येते का?</t>
  </si>
  <si>
    <t>उप-प्रकल्प क्षेत्र आकांक्षी जिल्हा (Aspirational District) अंतर्गत येते का?[5]</t>
  </si>
  <si>
    <t>होय</t>
  </si>
  <si>
    <r>
      <t>[1]</t>
    </r>
    <r>
      <rPr>
        <i/>
        <sz val="7"/>
        <color theme="1"/>
        <rFont val="Calibri"/>
        <family val="2"/>
        <scheme val="minor"/>
      </rPr>
      <t xml:space="preserve"> </t>
    </r>
    <r>
      <rPr>
        <i/>
        <sz val="7"/>
        <color theme="1"/>
        <rFont val="Arial Unicode MS"/>
        <family val="2"/>
      </rPr>
      <t>स्मार्ट</t>
    </r>
    <r>
      <rPr>
        <i/>
        <sz val="7"/>
        <color theme="1"/>
        <rFont val="Calibri"/>
        <family val="2"/>
        <scheme val="minor"/>
      </rPr>
      <t xml:space="preserve"> </t>
    </r>
    <r>
      <rPr>
        <i/>
        <sz val="7"/>
        <color theme="1"/>
        <rFont val="Arial Unicode MS"/>
        <family val="2"/>
      </rPr>
      <t>प्रकल्पाच्या</t>
    </r>
    <r>
      <rPr>
        <i/>
        <sz val="7"/>
        <color theme="1"/>
        <rFont val="Calibri"/>
        <family val="2"/>
        <scheme val="minor"/>
      </rPr>
      <t xml:space="preserve"> </t>
    </r>
    <r>
      <rPr>
        <i/>
        <sz val="7"/>
        <color theme="1"/>
        <rFont val="Arial Unicode MS"/>
        <family val="2"/>
      </rPr>
      <t>पर्यावरण</t>
    </r>
    <r>
      <rPr>
        <i/>
        <sz val="7"/>
        <color theme="1"/>
        <rFont val="Calibri"/>
        <family val="2"/>
        <scheme val="minor"/>
      </rPr>
      <t xml:space="preserve"> </t>
    </r>
    <r>
      <rPr>
        <i/>
        <sz val="7"/>
        <color theme="1"/>
        <rFont val="Arial Unicode MS"/>
        <family val="2"/>
      </rPr>
      <t>आणि</t>
    </r>
    <r>
      <rPr>
        <i/>
        <sz val="7"/>
        <color theme="1"/>
        <rFont val="Calibri"/>
        <family val="2"/>
        <scheme val="minor"/>
      </rPr>
      <t xml:space="preserve"> </t>
    </r>
    <r>
      <rPr>
        <i/>
        <sz val="7"/>
        <color theme="1"/>
        <rFont val="Arial Unicode MS"/>
        <family val="2"/>
      </rPr>
      <t>सामाजिक</t>
    </r>
    <r>
      <rPr>
        <i/>
        <sz val="7"/>
        <color theme="1"/>
        <rFont val="Calibri"/>
        <family val="2"/>
        <scheme val="minor"/>
      </rPr>
      <t xml:space="preserve"> </t>
    </r>
    <r>
      <rPr>
        <i/>
        <sz val="7"/>
        <color theme="1"/>
        <rFont val="Arial Unicode MS"/>
        <family val="2"/>
      </rPr>
      <t>व्यवस्थापन</t>
    </r>
    <r>
      <rPr>
        <i/>
        <sz val="7"/>
        <color theme="1"/>
        <rFont val="Calibri"/>
        <family val="2"/>
        <scheme val="minor"/>
      </rPr>
      <t xml:space="preserve"> </t>
    </r>
    <r>
      <rPr>
        <i/>
        <sz val="7"/>
        <color theme="1"/>
        <rFont val="Arial Unicode MS"/>
        <family val="2"/>
      </rPr>
      <t>आराखडा पुढील</t>
    </r>
    <r>
      <rPr>
        <i/>
        <sz val="7"/>
        <color theme="1"/>
        <rFont val="Times New Roman"/>
        <family val="1"/>
      </rPr>
      <t xml:space="preserve"> </t>
    </r>
    <r>
      <rPr>
        <i/>
        <sz val="7"/>
        <color theme="1"/>
        <rFont val="Arial Unicode MS"/>
        <family val="2"/>
      </rPr>
      <t>संकेतस्थळावर</t>
    </r>
    <r>
      <rPr>
        <i/>
        <sz val="7"/>
        <color theme="1"/>
        <rFont val="Times New Roman"/>
        <family val="1"/>
      </rPr>
      <t xml:space="preserve"> </t>
    </r>
    <r>
      <rPr>
        <i/>
        <sz val="7"/>
        <color theme="1"/>
        <rFont val="Arial Unicode MS"/>
        <family val="2"/>
      </rPr>
      <t>उपलब्ध</t>
    </r>
    <r>
      <rPr>
        <i/>
        <sz val="7"/>
        <color theme="1"/>
        <rFont val="Times New Roman"/>
        <family val="1"/>
      </rPr>
      <t xml:space="preserve"> -  </t>
    </r>
    <r>
      <rPr>
        <i/>
        <sz val="7"/>
        <color theme="1"/>
        <rFont val="Calibri"/>
        <family val="2"/>
        <scheme val="minor"/>
      </rPr>
      <t xml:space="preserve"> </t>
    </r>
    <r>
      <rPr>
        <i/>
        <sz val="7"/>
        <rFont val="Times New Roman"/>
        <family val="1"/>
      </rPr>
      <t>https://www.smart-mh.org/smart/aboutsmart</t>
    </r>
  </si>
  <si>
    <r>
      <t>[2]</t>
    </r>
    <r>
      <rPr>
        <i/>
        <sz val="7"/>
        <color theme="1"/>
        <rFont val="Calibri"/>
        <family val="2"/>
        <scheme val="minor"/>
      </rPr>
      <t xml:space="preserve"> Schedule V </t>
    </r>
    <r>
      <rPr>
        <i/>
        <sz val="7"/>
        <color theme="1"/>
        <rFont val="Arial Unicode MS"/>
        <family val="2"/>
      </rPr>
      <t xml:space="preserve">आदिवासी जिल्हे व तालुके यांची यादी पुढील संकेतस्थळावर उपलब्ध </t>
    </r>
    <r>
      <rPr>
        <i/>
        <sz val="7"/>
        <color theme="1"/>
        <rFont val="Times New Roman"/>
        <family val="1"/>
      </rPr>
      <t xml:space="preserve">- </t>
    </r>
    <r>
      <rPr>
        <i/>
        <sz val="7"/>
        <color theme="1"/>
        <rFont val="Calibri"/>
        <family val="2"/>
        <scheme val="minor"/>
      </rPr>
      <t>https://cdnbbsr.s3waas.gov.in/s3c8758b517083196f05ac29810b924aca/uploads/2019/11/2019112132.pdf</t>
    </r>
    <r>
      <rPr>
        <i/>
        <sz val="7"/>
        <color theme="1"/>
        <rFont val="Times New Roman"/>
        <family val="1"/>
      </rPr>
      <t xml:space="preserve"> </t>
    </r>
  </si>
  <si>
    <t>[3] असुरक्षित आदिवासी गट - कटकारिया (कठोडिया), कोलम, मारिया गोंड</t>
  </si>
  <si>
    <t>[4] डावे विंग अतिरेकी[4]/नक्षलवादी  क्षेत्र - चंद्रपूर, गडचिरोली, गोंदिया</t>
  </si>
  <si>
    <t>[5] आकांक्षी जिल्हे - नंदुरबार, वाशिम, गडचिरोली, उस्मानाबाद</t>
  </si>
  <si>
    <t xml:space="preserve">[6]14 वर्षाखालील बालकांना बालकामगार असे संबोधले जाते. </t>
  </si>
  <si>
    <t>[7] वेठबिगार :  निराधार, दुर्बल, परावलंबी व असंघटित व्यक्तींच्या अज्ञानाचा व दुबळेपणाचा गैरफायदा उठवून, त्यांना अंकित करुन, त्यांच्या इच्छेविरुध्द सक्तीने व योग्य मोबदला न देता किंवा विनामोबदला पडेल त्या कामाकरिता राबवून घेणे म्हणजे वेठबिगार.</t>
  </si>
  <si>
    <t>3.      नकारात्मक यादीचे अनुपालन (Compliance with Negative List)</t>
  </si>
  <si>
    <t xml:space="preserve">या उप-प्रकल्पांमधील उपक्रमांकरीता  खाजगी जागा ताब्यात घेणे अनिवार्य आहे का? </t>
  </si>
  <si>
    <t xml:space="preserve">या उप-प्रकल्पांमधील उपक्रमांकरीता  खाजगी जागा विकत घेतली जाणार आहे का? </t>
  </si>
  <si>
    <t xml:space="preserve">या उप-प्रकल्पांतील उपक्रमांमुळे लोकांचे तसेच घरे, दुकाने, इमारती, इ.चे स्थलांतरण होणार आहे का?  </t>
  </si>
  <si>
    <t>या उप-प्रकल्पांतील उपक्रमांमुळे सामान्य मार्ग, सुविधा व संसाधने वापरण्याची संधी बंद होणार आहे का?</t>
  </si>
  <si>
    <t>या उप-प्रकल्पांतील उपक्रमांमुळे स्थानिक  उदरनिर्वाह व व्यवसायांवर विपरित परिणाम होणार आहे का?</t>
  </si>
  <si>
    <t xml:space="preserve">या उप-प्रकल्पांमध्ये Schedule V (अनुसूचित जमातीची लोकसंख्या असलेली) क्षेत्रातील गावामध्ये आदिवासी समाजाला प्रकल्पाची माहिती देण्याकरीता पुर्वसूचना देवून विनाशुल्क चर्चा केली नाही असे आहे का?   </t>
  </si>
  <si>
    <t xml:space="preserve">या उप प्रकल्पांमध्ये Schedule V (अनुसूचित जमातीची लोकसंख्या असलेली) क्षेत्रातील अशी गावे आहेत का जेथे आदिवासी समाजाची व्यापक स्तरावर प्रकल्प अंमलबजावणी करीता संमती मिळाली नाही?   </t>
  </si>
  <si>
    <t xml:space="preserve">या उप-प्रकल्पांमध्ये अशा कोणत्याही उपक्रमांचा समावेश आहे का ज्यामुळे आदिवासी समाजाचे सामाजिक, सांस्कृतिक आणि धार्मिक श्रद्धा, प्रथा आणि त्यांच्या उदरनिर्वाहावर नकारात्मक परिणाम होऊ शकेल?    </t>
  </si>
  <si>
    <t xml:space="preserve">या उप-प्रकल्पांमध्ये अशा उपक्रमांचा समावेश आहे का ज्यामुळे पुरातत्व, ऐतिहासिक व सांस्कृतिक मालमत्तेवर विपरित परिणाम ‍होऊ शकेल?   </t>
  </si>
  <si>
    <t xml:space="preserve">या उप-प्रकल्पांमध्ये अशा उपक्रमांचा समावेश आहे का ज्यामध्ये बाल कामगार,[6] वेठबिगार[7] किंवा इतर कामगारांचे  शोषण करण्याच्या पध्दतीचा अवलंब असेल?   </t>
  </si>
  <si>
    <t xml:space="preserve">या उप-प्रकल्पांमध्ये खोल खोदकाम कामे, घातक रसायने, स्फोटके, धोकादायक स्थळे संबंधित उपक्रमांचा समावेश आहे का ज्यामुळे कामगार आणि स्थानिक समुदायांचे आरोग्य आणि सुरक्षितता धोक्यात येईल? </t>
  </si>
  <si>
    <t>या उप-प्रकल्पांमध्ये बांधकाम किंवा प्रकल्प्‍ अंमलबजावणीदरम्यान कामगाराकरीता काही धोकादायक कामांचा समावेश आहे का?</t>
  </si>
  <si>
    <t>या उप-प्रकल्पांमध्ये अशा उपक्रमांचा समावेश आहे का ज्यामुळे महिला, मुले आणि मुली यांचे हित, आरोग्य व सुरक्षा यांस ‍हानी पोहोचेल?</t>
  </si>
  <si>
    <t xml:space="preserve">4.        उपप्रकल्प अंमलबजावणी </t>
  </si>
  <si>
    <t xml:space="preserve">4.1     उप-प्रकल्पांमध्ये वंचित घटकांचा समावेश  </t>
  </si>
  <si>
    <t>4.2 आदिवासी क्षेत्रातील उपप्रकल्प</t>
  </si>
  <si>
    <t>आदिवासी समुदायाला उपप्रकल्पाची माहिती देण्याकरीता पूर्वसूचना देवून मोफत मार्गदर्शन ‍केले आहेका?</t>
  </si>
  <si>
    <t>उपप्रकल्प अंमलबजावणीसाठी आदिवासी समुदायाची संमती प्राप्त झाली आहे का?</t>
  </si>
  <si>
    <t>उपप्रकल्पाचे फायदे आदिवासी समुदायापर्यंत पोहोचतील याची खातरजमा केली जाणार का?</t>
  </si>
  <si>
    <t>उपप्रकल्पात राबविललेल्या कृषि पद्धती</t>
  </si>
  <si>
    <t xml:space="preserve">रासायनिक खताची शिफारसीत मात्रा वापरलेले क्षेत्र </t>
  </si>
  <si>
    <t xml:space="preserve">शिफारसीपेक्षा कमी रासायनिक खत वापरलेले क्षेत्र </t>
  </si>
  <si>
    <t xml:space="preserve">शिफारसीपेक्षा जास्त रासायनिक खत वापरलेले क्षेत्र </t>
  </si>
  <si>
    <t xml:space="preserve">किडनाशकाची शिफारसीत मात्रा वापरलेले क्षेत्र </t>
  </si>
  <si>
    <t xml:space="preserve">शिफारसीपेक्षा कमी किडनाशक वापरलेले क्षेत्र </t>
  </si>
  <si>
    <t xml:space="preserve">शिफारसीपेक्षा जास्त किडनाशक वापरलेले क्षेत्र </t>
  </si>
  <si>
    <t xml:space="preserve">सेंद्रिय शेतीखालील क्षेत्र </t>
  </si>
  <si>
    <r>
      <t>टिप</t>
    </r>
    <r>
      <rPr>
        <b/>
        <sz val="9"/>
        <color theme="1"/>
        <rFont val="Calibri"/>
        <family val="2"/>
        <scheme val="minor"/>
      </rPr>
      <t xml:space="preserve"> :-</t>
    </r>
  </si>
  <si>
    <r>
      <t>१.</t>
    </r>
    <r>
      <rPr>
        <sz val="7"/>
        <color theme="1"/>
        <rFont val="Times New Roman"/>
        <family val="1"/>
      </rPr>
      <t xml:space="preserve">       </t>
    </r>
    <r>
      <rPr>
        <sz val="9"/>
        <color theme="1"/>
        <rFont val="Arial Unicode MS"/>
        <family val="2"/>
      </rPr>
      <t>स्मार्ट</t>
    </r>
    <r>
      <rPr>
        <sz val="9"/>
        <color theme="1"/>
        <rFont val="Times New Roman"/>
        <family val="1"/>
      </rPr>
      <t xml:space="preserve"> </t>
    </r>
    <r>
      <rPr>
        <sz val="9"/>
        <color theme="1"/>
        <rFont val="Arial Unicode MS"/>
        <family val="2"/>
      </rPr>
      <t>प्रकल्पाच्या</t>
    </r>
    <r>
      <rPr>
        <sz val="9"/>
        <color theme="1"/>
        <rFont val="Calibri"/>
        <family val="2"/>
        <scheme val="minor"/>
      </rPr>
      <t xml:space="preserve"> </t>
    </r>
    <r>
      <rPr>
        <sz val="9"/>
        <color theme="1"/>
        <rFont val="Arial Unicode MS"/>
        <family val="2"/>
      </rPr>
      <t>पर्यावरण आणि सामाजिक</t>
    </r>
    <r>
      <rPr>
        <sz val="9"/>
        <color theme="1"/>
        <rFont val="Calibri"/>
        <family val="2"/>
        <scheme val="minor"/>
      </rPr>
      <t xml:space="preserve"> </t>
    </r>
    <r>
      <rPr>
        <sz val="9"/>
        <color theme="1"/>
        <rFont val="Arial Unicode MS"/>
        <family val="2"/>
      </rPr>
      <t>व्यवस्थापन आराखडा</t>
    </r>
    <r>
      <rPr>
        <sz val="9"/>
        <color theme="1"/>
        <rFont val="Calibri"/>
        <family val="2"/>
        <scheme val="minor"/>
      </rPr>
      <t xml:space="preserve"> </t>
    </r>
    <r>
      <rPr>
        <sz val="9"/>
        <color theme="1"/>
        <rFont val="Arial Unicode MS"/>
        <family val="2"/>
      </rPr>
      <t xml:space="preserve"> च्या शिफारशीनुसार कोणताही</t>
    </r>
    <r>
      <rPr>
        <sz val="9"/>
        <color theme="1"/>
        <rFont val="Times New Roman"/>
        <family val="1"/>
      </rPr>
      <t xml:space="preserve"> (</t>
    </r>
    <r>
      <rPr>
        <sz val="9"/>
        <color theme="1"/>
        <rFont val="Arial Unicode MS"/>
        <family val="2"/>
      </rPr>
      <t>ईएसएमएफ</t>
    </r>
    <r>
      <rPr>
        <sz val="9"/>
        <color theme="1"/>
        <rFont val="Times New Roman"/>
        <family val="1"/>
      </rPr>
      <t xml:space="preserve">) </t>
    </r>
    <r>
      <rPr>
        <sz val="9"/>
        <color theme="1"/>
        <rFont val="Arial Unicode MS"/>
        <family val="2"/>
      </rPr>
      <t>उपप्रकल्प</t>
    </r>
    <r>
      <rPr>
        <sz val="9"/>
        <color theme="1"/>
        <rFont val="Calibri"/>
        <family val="2"/>
        <scheme val="minor"/>
      </rPr>
      <t xml:space="preserve"> </t>
    </r>
    <r>
      <rPr>
        <sz val="9"/>
        <color theme="1"/>
        <rFont val="Arial Unicode MS"/>
        <family val="2"/>
      </rPr>
      <t>बिंदू क्र ३</t>
    </r>
    <r>
      <rPr>
        <sz val="9"/>
        <color theme="1"/>
        <rFont val="Times New Roman"/>
        <family val="1"/>
      </rPr>
      <t>.</t>
    </r>
    <r>
      <rPr>
        <sz val="9"/>
        <color theme="1"/>
        <rFont val="Arial Unicode MS"/>
        <family val="2"/>
      </rPr>
      <t>९</t>
    </r>
    <r>
      <rPr>
        <sz val="9"/>
        <color theme="1"/>
        <rFont val="Calibri"/>
        <family val="2"/>
        <scheme val="minor"/>
      </rPr>
      <t xml:space="preserve">, </t>
    </r>
    <r>
      <rPr>
        <sz val="9"/>
        <color theme="1"/>
        <rFont val="Arial Unicode MS"/>
        <family val="2"/>
      </rPr>
      <t>पृष्ठ क्रमांक</t>
    </r>
    <r>
      <rPr>
        <sz val="9"/>
        <color theme="1"/>
        <rFont val="Calibri"/>
        <family val="2"/>
        <scheme val="minor"/>
      </rPr>
      <t xml:space="preserve"> </t>
    </r>
    <r>
      <rPr>
        <sz val="9"/>
        <color theme="1"/>
        <rFont val="Arial Unicode MS"/>
        <family val="2"/>
      </rPr>
      <t>४८ मध्ये</t>
    </r>
    <r>
      <rPr>
        <sz val="9"/>
        <color theme="1"/>
        <rFont val="Times New Roman"/>
        <family val="1"/>
      </rPr>
      <t xml:space="preserve"> </t>
    </r>
    <r>
      <rPr>
        <sz val="9"/>
        <color theme="1"/>
        <rFont val="Arial Unicode MS"/>
        <family val="2"/>
      </rPr>
      <t>दिलेल्या नकारात्मक यादीमध्ये येऊ नये</t>
    </r>
    <r>
      <rPr>
        <sz val="9"/>
        <color theme="1"/>
        <rFont val="Calibri"/>
        <family val="2"/>
        <scheme val="minor"/>
      </rPr>
      <t>.</t>
    </r>
  </si>
  <si>
    <r>
      <t>२.</t>
    </r>
    <r>
      <rPr>
        <sz val="7"/>
        <color theme="1"/>
        <rFont val="Times New Roman"/>
        <family val="1"/>
      </rPr>
      <t xml:space="preserve">       </t>
    </r>
    <r>
      <rPr>
        <sz val="9"/>
        <color theme="1"/>
        <rFont val="Arial Unicode MS"/>
        <family val="2"/>
      </rPr>
      <t xml:space="preserve">उपप्रकल्पाव्दारे सर्व </t>
    </r>
    <r>
      <rPr>
        <sz val="9"/>
        <color theme="1"/>
        <rFont val="Times New Roman"/>
        <family val="1"/>
      </rPr>
      <t>(</t>
    </r>
    <r>
      <rPr>
        <sz val="9"/>
        <color theme="1"/>
        <rFont val="Arial Unicode MS"/>
        <family val="2"/>
      </rPr>
      <t>१००</t>
    </r>
    <r>
      <rPr>
        <sz val="9"/>
        <color theme="1"/>
        <rFont val="Times New Roman"/>
        <family val="1"/>
      </rPr>
      <t xml:space="preserve"> %) </t>
    </r>
    <r>
      <rPr>
        <sz val="9"/>
        <color theme="1"/>
        <rFont val="Arial Unicode MS"/>
        <family val="2"/>
      </rPr>
      <t xml:space="preserve">समुदाय आधारीत संस्थेस एकात्मिक अन्नद्रव्य व्यवस्थापन </t>
    </r>
    <r>
      <rPr>
        <sz val="9"/>
        <color theme="1"/>
        <rFont val="Times New Roman"/>
        <family val="1"/>
      </rPr>
      <t>(</t>
    </r>
    <r>
      <rPr>
        <sz val="9"/>
        <color theme="1"/>
        <rFont val="Arial Unicode MS"/>
        <family val="2"/>
      </rPr>
      <t>आयएनएम</t>
    </r>
    <r>
      <rPr>
        <sz val="9"/>
        <color theme="1"/>
        <rFont val="Times New Roman"/>
        <family val="1"/>
      </rPr>
      <t xml:space="preserve">) </t>
    </r>
    <r>
      <rPr>
        <sz val="9"/>
        <color theme="1"/>
        <rFont val="Arial Unicode MS"/>
        <family val="2"/>
      </rPr>
      <t xml:space="preserve">पध्दती आणि एकात्मिक कीड व्यवस्थापन </t>
    </r>
    <r>
      <rPr>
        <sz val="9"/>
        <color theme="1"/>
        <rFont val="Times New Roman"/>
        <family val="1"/>
      </rPr>
      <t>(</t>
    </r>
    <r>
      <rPr>
        <sz val="9"/>
        <color theme="1"/>
        <rFont val="Arial Unicode MS"/>
        <family val="2"/>
      </rPr>
      <t>आयपीएम</t>
    </r>
    <r>
      <rPr>
        <sz val="9"/>
        <color theme="1"/>
        <rFont val="Times New Roman"/>
        <family val="1"/>
      </rPr>
      <t xml:space="preserve">)  </t>
    </r>
    <r>
      <rPr>
        <sz val="9"/>
        <color theme="1"/>
        <rFont val="Arial Unicode MS"/>
        <family val="2"/>
      </rPr>
      <t xml:space="preserve">वापराचे प्रशिक्षण प्रकल्पातील व्हॅल्यू चेन डेव्हलपमेंट स्कूल </t>
    </r>
    <r>
      <rPr>
        <sz val="9"/>
        <color theme="1"/>
        <rFont val="Times New Roman"/>
        <family val="1"/>
      </rPr>
      <t>(</t>
    </r>
    <r>
      <rPr>
        <sz val="9"/>
        <color theme="1"/>
        <rFont val="Arial Unicode MS"/>
        <family val="2"/>
      </rPr>
      <t>व्हीसीडीएस</t>
    </r>
    <r>
      <rPr>
        <sz val="9"/>
        <color theme="1"/>
        <rFont val="Times New Roman"/>
        <family val="1"/>
      </rPr>
      <t>)</t>
    </r>
    <r>
      <rPr>
        <sz val="9"/>
        <color theme="1"/>
        <rFont val="Arial Unicode MS"/>
        <family val="2"/>
      </rPr>
      <t xml:space="preserve"> मध्ये दिले जाईल</t>
    </r>
    <r>
      <rPr>
        <sz val="9"/>
        <color theme="1"/>
        <rFont val="Times New Roman"/>
        <family val="1"/>
      </rPr>
      <t xml:space="preserve">. </t>
    </r>
    <r>
      <rPr>
        <sz val="9"/>
        <color theme="1"/>
        <rFont val="Arial Unicode MS"/>
        <family val="2"/>
      </rPr>
      <t>उप प्रकल्पाच्या शेवटपर्यन्त उप प्रकल्प क्षेत्रातील ५०</t>
    </r>
    <r>
      <rPr>
        <sz val="9"/>
        <color theme="1"/>
        <rFont val="Times New Roman"/>
        <family val="1"/>
      </rPr>
      <t xml:space="preserve">% </t>
    </r>
    <r>
      <rPr>
        <sz val="9"/>
        <color theme="1"/>
        <rFont val="Arial Unicode MS"/>
        <family val="2"/>
      </rPr>
      <t>क्षेत्र आयपीएम अंतर्गत आणले जाईल</t>
    </r>
    <r>
      <rPr>
        <sz val="9"/>
        <color theme="1"/>
        <rFont val="Times New Roman"/>
        <family val="1"/>
      </rPr>
      <t>.</t>
    </r>
  </si>
  <si>
    <r>
      <t>३.</t>
    </r>
    <r>
      <rPr>
        <sz val="7"/>
        <color theme="1"/>
        <rFont val="Times New Roman"/>
        <family val="1"/>
      </rPr>
      <t xml:space="preserve">       </t>
    </r>
    <r>
      <rPr>
        <sz val="9"/>
        <color theme="1"/>
        <rFont val="Arial Unicode MS"/>
        <family val="2"/>
      </rPr>
      <t xml:space="preserve">सेंद्रीय </t>
    </r>
    <r>
      <rPr>
        <sz val="9"/>
        <color theme="1"/>
        <rFont val="Times New Roman"/>
        <family val="1"/>
      </rPr>
      <t>(</t>
    </r>
    <r>
      <rPr>
        <sz val="9"/>
        <color theme="1"/>
        <rFont val="Arial Unicode MS"/>
        <family val="2"/>
      </rPr>
      <t>सेंद्रिय उत्पादनासाठी राष्ट्रीय कार्यक्रम</t>
    </r>
    <r>
      <rPr>
        <sz val="9"/>
        <color theme="1"/>
        <rFont val="Times New Roman"/>
        <family val="1"/>
      </rPr>
      <t xml:space="preserve">) </t>
    </r>
    <r>
      <rPr>
        <sz val="9"/>
        <color theme="1"/>
        <rFont val="Arial Unicode MS"/>
        <family val="2"/>
      </rPr>
      <t xml:space="preserve">आणि </t>
    </r>
    <r>
      <rPr>
        <sz val="9"/>
        <color theme="1"/>
        <rFont val="Times New Roman"/>
        <family val="1"/>
      </rPr>
      <t xml:space="preserve">/ </t>
    </r>
    <r>
      <rPr>
        <sz val="9"/>
        <color theme="1"/>
        <rFont val="Arial Unicode MS"/>
        <family val="2"/>
      </rPr>
      <t>किंवा जागतिक उत्तम कृषि पध्दती</t>
    </r>
    <r>
      <rPr>
        <sz val="9"/>
        <color theme="1"/>
        <rFont val="Times New Roman"/>
        <family val="1"/>
      </rPr>
      <t xml:space="preserve"> (</t>
    </r>
    <r>
      <rPr>
        <sz val="9"/>
        <color theme="1"/>
        <rFont val="Arial Unicode MS"/>
        <family val="2"/>
      </rPr>
      <t>जी</t>
    </r>
    <r>
      <rPr>
        <sz val="9"/>
        <color theme="1"/>
        <rFont val="Times New Roman"/>
        <family val="1"/>
      </rPr>
      <t>.</t>
    </r>
    <r>
      <rPr>
        <sz val="9"/>
        <color theme="1"/>
        <rFont val="Arial Unicode MS"/>
        <family val="2"/>
      </rPr>
      <t>ए</t>
    </r>
    <r>
      <rPr>
        <sz val="9"/>
        <color theme="1"/>
        <rFont val="Times New Roman"/>
        <family val="1"/>
      </rPr>
      <t>.</t>
    </r>
    <r>
      <rPr>
        <sz val="9"/>
        <color theme="1"/>
        <rFont val="Arial Unicode MS"/>
        <family val="2"/>
      </rPr>
      <t>पी</t>
    </r>
    <r>
      <rPr>
        <sz val="9"/>
        <color theme="1"/>
        <rFont val="Times New Roman"/>
        <family val="1"/>
      </rPr>
      <t xml:space="preserve">.) </t>
    </r>
    <r>
      <rPr>
        <sz val="9"/>
        <color theme="1"/>
        <rFont val="Arial Unicode MS"/>
        <family val="2"/>
      </rPr>
      <t>गट प्रमाणपत्राच्या आवश्यकतेसाठी</t>
    </r>
    <r>
      <rPr>
        <sz val="9"/>
        <color theme="1"/>
        <rFont val="Times New Roman"/>
        <family val="1"/>
      </rPr>
      <t xml:space="preserve">, </t>
    </r>
    <r>
      <rPr>
        <sz val="9"/>
        <color theme="1"/>
        <rFont val="Arial Unicode MS"/>
        <family val="2"/>
      </rPr>
      <t>प्रकल्पातील ६०</t>
    </r>
    <r>
      <rPr>
        <sz val="9"/>
        <color theme="1"/>
        <rFont val="Times New Roman"/>
        <family val="1"/>
      </rPr>
      <t xml:space="preserve">% </t>
    </r>
    <r>
      <rPr>
        <sz val="9"/>
        <color theme="1"/>
        <rFont val="Arial Unicode MS"/>
        <family val="2"/>
      </rPr>
      <t>पर्यंतचे आर्थिक सहाय्य उपप्रकल्पाव्दारे समुदाय आधारीत संस्थेस मिळू शकते</t>
    </r>
    <r>
      <rPr>
        <sz val="9"/>
        <color theme="1"/>
        <rFont val="Times New Roman"/>
        <family val="1"/>
      </rPr>
      <t xml:space="preserve">. </t>
    </r>
    <r>
      <rPr>
        <sz val="9"/>
        <color theme="1"/>
        <rFont val="Arial Unicode MS"/>
        <family val="2"/>
      </rPr>
      <t>उर्वरित ४०</t>
    </r>
    <r>
      <rPr>
        <sz val="9"/>
        <color theme="1"/>
        <rFont val="Times New Roman"/>
        <family val="1"/>
      </rPr>
      <t xml:space="preserve">% </t>
    </r>
    <r>
      <rPr>
        <sz val="9"/>
        <color theme="1"/>
        <rFont val="Arial Unicode MS"/>
        <family val="2"/>
      </rPr>
      <t>खर्चाची रक्कम समुदाय आधारीत संस्थेस स्वतः उभारावी लागेल</t>
    </r>
    <r>
      <rPr>
        <sz val="9"/>
        <color theme="1"/>
        <rFont val="Times New Roman"/>
        <family val="1"/>
      </rPr>
      <t>.</t>
    </r>
  </si>
  <si>
    <r>
      <t>४.</t>
    </r>
    <r>
      <rPr>
        <sz val="7"/>
        <color theme="1"/>
        <rFont val="Times New Roman"/>
        <family val="1"/>
      </rPr>
      <t xml:space="preserve">       </t>
    </r>
    <r>
      <rPr>
        <sz val="9"/>
        <color theme="1"/>
        <rFont val="Arial Unicode MS"/>
        <family val="2"/>
      </rPr>
      <t>प्रकल्पाच्या संसाधनांचा वापर करुन खरेदी केली जाणारी सर्व नवीन यंत्रसामुग्री ही ऊर्जा कार्यक्षम</t>
    </r>
    <r>
      <rPr>
        <sz val="9"/>
        <color theme="1"/>
        <rFont val="Calibri"/>
        <family val="2"/>
        <scheme val="minor"/>
      </rPr>
      <t xml:space="preserve">, </t>
    </r>
    <r>
      <rPr>
        <sz val="9"/>
        <color theme="1"/>
        <rFont val="Arial Unicode MS"/>
        <family val="2"/>
      </rPr>
      <t>वाहने</t>
    </r>
    <r>
      <rPr>
        <sz val="9"/>
        <color theme="1"/>
        <rFont val="Times New Roman"/>
        <family val="1"/>
      </rPr>
      <t>-</t>
    </r>
    <r>
      <rPr>
        <sz val="9"/>
        <color theme="1"/>
        <rFont val="Arial Unicode MS"/>
        <family val="2"/>
      </rPr>
      <t xml:space="preserve"> भारत स्टेज</t>
    </r>
    <r>
      <rPr>
        <sz val="9"/>
        <color theme="1"/>
        <rFont val="Times New Roman"/>
        <family val="1"/>
      </rPr>
      <t>-</t>
    </r>
    <r>
      <rPr>
        <sz val="9"/>
        <color theme="1"/>
        <rFont val="Calibri"/>
        <family val="2"/>
        <scheme val="minor"/>
      </rPr>
      <t xml:space="preserve">VI, </t>
    </r>
    <r>
      <rPr>
        <sz val="9"/>
        <color theme="1"/>
        <rFont val="Arial Unicode MS"/>
        <family val="2"/>
      </rPr>
      <t>ट्रॅक्टर</t>
    </r>
    <r>
      <rPr>
        <sz val="9"/>
        <color theme="1"/>
        <rFont val="Calibri"/>
        <family val="2"/>
        <scheme val="minor"/>
      </rPr>
      <t>-</t>
    </r>
    <r>
      <rPr>
        <sz val="9"/>
        <color theme="1"/>
        <rFont val="Arial Unicode MS"/>
        <family val="2"/>
      </rPr>
      <t xml:space="preserve">भारत स्टेज </t>
    </r>
    <r>
      <rPr>
        <sz val="9"/>
        <color theme="1"/>
        <rFont val="Calibri"/>
        <family val="2"/>
        <scheme val="minor"/>
      </rPr>
      <t>(</t>
    </r>
    <r>
      <rPr>
        <sz val="9"/>
        <color theme="1"/>
        <rFont val="Arial Unicode MS"/>
        <family val="2"/>
      </rPr>
      <t xml:space="preserve">सीईव्ही </t>
    </r>
    <r>
      <rPr>
        <sz val="9"/>
        <color theme="1"/>
        <rFont val="Calibri"/>
        <family val="2"/>
        <scheme val="minor"/>
      </rPr>
      <t xml:space="preserve">/ </t>
    </r>
    <r>
      <rPr>
        <sz val="9"/>
        <color theme="1"/>
        <rFont val="Arial Unicode MS"/>
        <family val="2"/>
      </rPr>
      <t>ट्रेम</t>
    </r>
    <r>
      <rPr>
        <sz val="9"/>
        <color theme="1"/>
        <rFont val="Calibri"/>
        <family val="2"/>
        <scheme val="minor"/>
      </rPr>
      <t xml:space="preserve">) IV – V </t>
    </r>
    <r>
      <rPr>
        <sz val="9"/>
        <color theme="1"/>
        <rFont val="Arial Unicode MS"/>
        <family val="2"/>
      </rPr>
      <t>असावी आणि वाहनांचे वैध पीयूसी प्रमाणपत्र असणे आवश्यक आहे</t>
    </r>
    <r>
      <rPr>
        <sz val="9"/>
        <color theme="1"/>
        <rFont val="Calibri"/>
        <family val="2"/>
        <scheme val="minor"/>
      </rPr>
      <t>.</t>
    </r>
  </si>
  <si>
    <t xml:space="preserve"> ईएसएमएफ आराखडाचे संकेतस्थळ: https://www.smart-mh.org/cdn//2019/08/190818171526_405e4be8b9d3ce2374fe29ce1561a62b.pdf</t>
  </si>
  <si>
    <t>[1] प्रकल्पाच्या सामाजिक विकास धोरणानुसार प्रकल्प अखेरीस प्रकल्पातील एकूण लाभार्थ्यांपैकी 80% अत्य व अत्यल्प भूधारक शेतकरी, किमान 30% महिला लाभार्थी, किमान 6% अनुसूचित जमाती, किमान 7% अनुसूचित जाती, तसेच समुदाय आधारित संस्थांमध्ये किमान 20% महिला संचालक लाभार्थी अनिवार्य आहे..</t>
  </si>
  <si>
    <t>होय/ नाही</t>
  </si>
  <si>
    <t>( होय असल्यास माहिती नमूद करा)</t>
  </si>
  <si>
    <t>4.1     जमिन</t>
  </si>
  <si>
    <t xml:space="preserve">7/12 चा उतारा किंवा  खासगी जमीन  २9 वर्षांकरीता भाड्याने /लीजवर घेतल्याचा नोंदणीकृत भाडेकरार सोबत जोडला आहे का? </t>
  </si>
  <si>
    <t xml:space="preserve">जागेचे अतिक्रमण नसलेले संबंधित अधिकाऱ्याचे प्रमाणपत्र सोबत जोडले आहे का? . (जिल्हा अंमलबजावणी यंत्रणा प्रमुख /ग्रामपंचायत / तलाठी इ. संबंधित) </t>
  </si>
  <si>
    <t>4.2    पायाभूत सुविधा</t>
  </si>
  <si>
    <t>कामगारांच्या आरोग्य आणि सुरक्षा सुविधां करीता काही उपाययोजना प्रस्तावित आहे का? (कामगार शिबिरादरम्यान ) {उदा. राहण्यासाठी पुरेशी जागा, स्वच्छता सुविधा, पिण्याचे पाणी, पुरुष व महिलांसाठी स्वतंत्र स्वक्षतागृहे, मुलांसाठी पाळणाघर/स्वतंत्र शेड, महिलांच्या लैंगिक छळ (प्रतिबंध, मनाई व निवारण) अधिनियम २०१3) संदर्भात माहिती देणे/जागरुकता आणणे.}</t>
  </si>
  <si>
    <t>बाहेरून येणाऱ्या कामगारांमुळे नि र्माण झालेल्या  जोखीमा टाळण्याकरीता उपाययोजना प्रस्तावित आहे का? (उदा. गुन्हे, संसर्गजन्य आजार, लिंग आधारीत  हिंसाचार, बालकामगार, इ. रोखण्याकरीता उपाययोजना)</t>
  </si>
  <si>
    <t xml:space="preserve">लिंग-आधारित हिंसा व लैंगिक छळ रोखण्याकरीता उपाययोजना प्रस्तावित आहेत का? (उदा अंतर्गत समितीची स्थापना) </t>
  </si>
  <si>
    <t xml:space="preserve">4.3    कामगार व समुदाय आरोग्य आणि सुरक्षा </t>
  </si>
  <si>
    <t>समुदाय आरोग्य आणि सुरक्षा यावर काही उपाययोजना प्रस्तावित आहेत का?  (उदा. शारीरिक इजा, अपघात, लैंगिक छळ, इ. रोखण्याकरीता उपाययोजना)</t>
  </si>
  <si>
    <t>कामगार आरोग्य आणि सुरक्षा यावर काही उपाययोजना प्रस्तावित आहेत का? ?  (उदा. कामाच्या ठिकाणी अपघात,शारीरिक इजा, लैंगिक छळ, इ. रोखण्याकरीता उपाययोजना)</t>
  </si>
  <si>
    <t>कोविड-19 च्या पार्श्वभूमीवर सुरक्षा उपाययोजना प्रस्तावित आहेत का? (उदा. सुरक्षित अंतर, मास्कचा वापर,इ.)</t>
  </si>
  <si>
    <t>5. उप-प्रकल्पातील सामाजिक उद्दीष्टे :</t>
  </si>
  <si>
    <t>क. वैध प्रदूषण नियंत्रण (पीयूसी) प्रमाणपत्र (आहे/नाही)</t>
  </si>
  <si>
    <t>अ. कृषी मूल्य साखळी विकासासाठी उप-प्रकल्प</t>
  </si>
  <si>
    <t xml:space="preserve">  प्रकल्पाच्या सामाजिक विकास धोरणानुसार प्रकल्प अखेरीस प्रकल्पातील एकूण लाभार्थ्यांपैकी 80% अत्य व अत्यल्प भूधारक शेतकरी, किमान 30% महिला लाभार्थी, किमान 6% अनुसूचित जमाती, किमान 7% अनुसूचित जाती, तसेच समुदाय आधारित संस्थांमध्ये किमान 20% महिला संचालक लाभार्थी अनिवार्य आहे..</t>
  </si>
  <si>
    <t>उपप्रकल्पापूर्वी (आधारभूत)</t>
  </si>
  <si>
    <t xml:space="preserve">रासायनिक खताचा सरासरी वापर -NPK </t>
  </si>
  <si>
    <t>कि/हे.</t>
  </si>
  <si>
    <t>हे.</t>
  </si>
  <si>
    <t xml:space="preserve">एकात्मिक अन्नद्रव्य व्यवस्थापन (आयएनएम) पध्दतीत  वापरलेले क्षेत्र </t>
  </si>
  <si>
    <t xml:space="preserve">कृषिरसायनांचा सरासरी वापर- किडनाशक,बुरशींनाशक व तृणनाशक </t>
  </si>
  <si>
    <t>लि/हे.</t>
  </si>
  <si>
    <t xml:space="preserve">एकात्मिक कीड व्यवस्थापन (आयपीएम) पध्दतीत वापरलेले क्षेत्र </t>
  </si>
  <si>
    <t xml:space="preserve">पिकांचे अवशेष जाळले जाणारे क्षेत्र </t>
  </si>
  <si>
    <t xml:space="preserve">कंपोस्ट,शेणखत इ. तयार करण्यासाठी पिकांच्या अवशेषाचा पुनर्वापर केलेले क्षेत्र </t>
  </si>
  <si>
    <t xml:space="preserve">जागतिक उत्तम कृषि पध्दतीत (जी.ए.पी.) खालील क्षेत्र </t>
  </si>
  <si>
    <t>ब. शेळी व परस बागेतील कुक्कुट पालनासाठी उपप्रकल्प</t>
  </si>
  <si>
    <t xml:space="preserve">पशु आहार पद्धतींचा प्रकार- मोकाट चरण/अर्धबंदीस्थ चरण </t>
  </si>
  <si>
    <t>मोकाट चरण</t>
  </si>
  <si>
    <t>जनावरांचे शेण खत म्हणून वापरले जाणारे क्षेत्र</t>
  </si>
  <si>
    <t>प्राण्याचे लसीकरण झाले आहे/ प्राण्याचे लसीकरण झालेले नाही (होय/नाही)</t>
  </si>
  <si>
    <t>भाग 9  : संपादन आराखडा :</t>
  </si>
  <si>
    <t>संदर्भ क्र.</t>
  </si>
  <si>
    <t xml:space="preserve">तपशील
(बांधकामे, वस्तू व सेवा )
</t>
  </si>
  <si>
    <t>सद्यस्थ‍िती नियोजित / प्रत्यक्ष / सुधारित</t>
  </si>
  <si>
    <t>सीबीओ स्तरीय संपादन आराखडा (बांधकामे, वस्तू व सेवा )</t>
  </si>
  <si>
    <t>अंदाजित किंमत (रु. लाखात)</t>
  </si>
  <si>
    <t>करार संख्या</t>
  </si>
  <si>
    <t>एकक किंमत</t>
  </si>
  <si>
    <t xml:space="preserve">एकूण किंमत </t>
  </si>
  <si>
    <t>संपादन पद्धत</t>
  </si>
  <si>
    <t>प्रकल्पाद्वारे  पुनरावलोकन खरेदी (पूर्व मान्यता / खरेदीनंतर मान्यता)</t>
  </si>
  <si>
    <t>निविदा उघडण्याची तारीख (अंदाजित)</t>
  </si>
  <si>
    <t xml:space="preserve"> प्रत्यक्ष करार दिनांक</t>
  </si>
  <si>
    <t>प्रत्यक्ष करार  रक्कम        (लाखात)</t>
  </si>
  <si>
    <t>बांधकामे</t>
  </si>
  <si>
    <t>वस्तू आणि उपकरणे</t>
  </si>
  <si>
    <t>सल्लागार सेवा</t>
  </si>
  <si>
    <t>१. प्रस्तावित उप-प्रकल्पाचे नाव –  अग्रोबाबा प्रोडुसर कंपनी लिमिटेड</t>
  </si>
  <si>
    <r>
      <t>2.</t>
    </r>
    <r>
      <rPr>
        <sz val="7"/>
        <color theme="1"/>
        <rFont val="Times New Roman"/>
        <family val="1"/>
      </rPr>
      <t xml:space="preserve">     </t>
    </r>
    <r>
      <rPr>
        <b/>
        <sz val="12"/>
        <color theme="1"/>
        <rFont val="Arial Unicode MS"/>
        <family val="2"/>
      </rPr>
      <t xml:space="preserve">उप-प्रकल्पाचा प्रकार  </t>
    </r>
    <r>
      <rPr>
        <sz val="11"/>
        <color theme="1"/>
        <rFont val="Arial Unicode MS"/>
        <family val="2"/>
      </rPr>
      <t xml:space="preserve">(योग्य पर्यायावर √ खूण करा )   </t>
    </r>
  </si>
  <si>
    <r>
      <t>3.</t>
    </r>
    <r>
      <rPr>
        <b/>
        <sz val="7"/>
        <color theme="1"/>
        <rFont val="Times New Roman"/>
        <family val="1"/>
      </rPr>
      <t xml:space="preserve">    </t>
    </r>
    <r>
      <rPr>
        <b/>
        <sz val="12"/>
        <color theme="1"/>
        <rFont val="Arial Unicode MS"/>
        <family val="2"/>
      </rPr>
      <t xml:space="preserve">प्रस्तावित उप-प्रकल्पाचे उद्देश:- </t>
    </r>
  </si>
  <si>
    <r>
      <t>4.</t>
    </r>
    <r>
      <rPr>
        <b/>
        <sz val="7"/>
        <color theme="1"/>
        <rFont val="Times New Roman"/>
        <family val="1"/>
      </rPr>
      <t xml:space="preserve">    </t>
    </r>
    <r>
      <rPr>
        <b/>
        <sz val="12"/>
        <color theme="1"/>
        <rFont val="Arial Unicode MS"/>
        <family val="2"/>
      </rPr>
      <t xml:space="preserve">उपप्रकल्पाचे स्थान (गाव, तालुका, जिल्हा, तालुका व जिल्हा मुख्यालायापासून चे अंतर, जिल्हा/राज्य/राष्ट्रीय महा मार्ग असल्यास त्याचा तपशिल ) </t>
    </r>
  </si>
  <si>
    <t xml:space="preserve">9.2  करार (MoU) केलेल्या खरेदीदार संस्थेचा तपशिल </t>
  </si>
  <si>
    <t xml:space="preserve">9.3  करार (MoU) केलेल्या खरेदीदार संस्थेचा तपशिल </t>
  </si>
  <si>
    <t xml:space="preserve">9.4  करार (MoU) केलेल्या खरेदीदार संस्थेचा तपशिल </t>
  </si>
  <si>
    <t xml:space="preserve">9.5  करार (MoU) केलेल्या खरेदीदार संस्थेचा तपशिल </t>
  </si>
  <si>
    <t>रक्कम
(रु.)</t>
  </si>
  <si>
    <t>Sr Manager</t>
  </si>
  <si>
    <t>Sr Accountant</t>
  </si>
  <si>
    <t>Manager for Trading unit</t>
  </si>
  <si>
    <t>Manager for Processing unit</t>
  </si>
  <si>
    <t>Opretor Trading Unit</t>
  </si>
  <si>
    <t>Opretor Processing Unit</t>
  </si>
  <si>
    <t>Manager for Ware House unit</t>
  </si>
  <si>
    <t>Trading Unit</t>
  </si>
  <si>
    <t>Ware House</t>
  </si>
  <si>
    <t>Manager for Agri Input</t>
  </si>
  <si>
    <t>Support Staff for Agri Input Unit</t>
  </si>
  <si>
    <t>खाण्याचे तेल</t>
  </si>
  <si>
    <t>Liter</t>
  </si>
  <si>
    <t>५० किलो बंग</t>
  </si>
  <si>
    <t>१०० किलो बंग</t>
  </si>
  <si>
    <t>वर्षातील ३०० दिवस</t>
  </si>
  <si>
    <t>mt</t>
  </si>
  <si>
    <t xml:space="preserve">व्यवसाय/उपक्रम क्र. २ </t>
  </si>
  <si>
    <t>व्यवसाय/उपक्रम क्र. १</t>
  </si>
  <si>
    <t xml:space="preserve">व्यवसाय/उपक्रम क्र. ३ </t>
  </si>
  <si>
    <t xml:space="preserve">व्यवसाय/उपक्रम क्र. ४ </t>
  </si>
  <si>
    <t xml:space="preserve">व्यवसाय/उपक्रम क्र. ६ </t>
  </si>
  <si>
    <t xml:space="preserve">व्यवसाय/उपक्रम क्र. ७ </t>
  </si>
  <si>
    <t>क्विंटल</t>
  </si>
  <si>
    <t>30 Lakh</t>
  </si>
  <si>
    <t>२ MT/तास</t>
  </si>
  <si>
    <t>65000 स्केअर फुट</t>
  </si>
  <si>
    <t xml:space="preserve">मा. बाळासाहेब                            ठाकरे कृषि व्यवसाय </t>
  </si>
  <si>
    <t>Avrage Profit</t>
  </si>
  <si>
    <t>Capital</t>
  </si>
  <si>
    <t>9767897521 9011065010</t>
  </si>
  <si>
    <t>Grains, Pulses &amp; Vagitables</t>
  </si>
  <si>
    <t>Maize, Jowar</t>
  </si>
  <si>
    <t>saispecialitycompounds1217@gmail.com</t>
  </si>
  <si>
    <t>Maize, Jowar, Wheat</t>
  </si>
  <si>
    <t>QUOTATION</t>
  </si>
  <si>
    <t>Grains Sorting , Grading Unit , Dal Mill &amp; Besan Mill</t>
  </si>
  <si>
    <t>Factory Building</t>
  </si>
  <si>
    <t>Bill</t>
  </si>
  <si>
    <t>Tally Software Bill</t>
  </si>
  <si>
    <t>MOU</t>
  </si>
  <si>
    <t>Director Appointment Document</t>
  </si>
  <si>
    <t>Company Incorporation Document</t>
  </si>
  <si>
    <t>Tax Audit Report with ROC Documents</t>
  </si>
  <si>
    <t>Water Avilability</t>
  </si>
  <si>
    <t>Bore Well Water Avilable at Lessed Land</t>
  </si>
  <si>
    <t>Photo 1</t>
  </si>
  <si>
    <t>Photo 2</t>
  </si>
  <si>
    <t>Open Well Water Avilable at Lessed Land</t>
  </si>
  <si>
    <t>Electricity Avilability</t>
  </si>
  <si>
    <t>सर्व कर्मचारी स्थानिक आहेत</t>
  </si>
  <si>
    <t>व्यैद्कीय विमा उत्वला जाणार</t>
  </si>
  <si>
    <t xml:space="preserve"> सुरक्षित अंतर, मास्कचा वापर</t>
  </si>
  <si>
    <t>Kishordhokchaule@gmail.com</t>
  </si>
  <si>
    <t>vijay2saipl@gmail.com</t>
  </si>
  <si>
    <t>Companies Act, 2013 (18 of 2013)</t>
  </si>
  <si>
    <t>कंपनी कायदा , २०१३ ( १८ ऑफ २०१३ )</t>
  </si>
  <si>
    <t>पल्लवी दत्तात्रय वेताळ</t>
  </si>
  <si>
    <t>सुनिता ज्ञानदेव बत्तीसे</t>
  </si>
  <si>
    <t>मागासवर्गीय</t>
  </si>
  <si>
    <t>लतीश विठ्ठल वेताळ</t>
  </si>
  <si>
    <t>MCED</t>
  </si>
  <si>
    <t>उद्योजगता</t>
  </si>
  <si>
    <t>EDP Traning</t>
  </si>
  <si>
    <t>1.ग्रामीण भागात शेतमाल प्रक्रिया उद्योग उभारणे</t>
  </si>
  <si>
    <t>2.शेतकर्यांना उच्च दर्ज्याचा शेतमाल पिकविण्या करिता प्रशिषण देणे, शेतकऱ्यांच्या शेतमाल बाजार भाव पेक्ष्या जास्तीचा भाव मिळवून देणे , शेतकऱ्यांची फसवणूक थांबवणे , खरेदी केलेल्या शेतमालावर प्रक्रिया करून बाजार पेठेत विक्री व्यवस्था उभी करणे</t>
  </si>
  <si>
    <t>३.शेतकऱ्यांना पिक काढणी पूर्व व पिक काढणी पश्च्यात सेवा व सुविधा उपलब्ध करून देणे.</t>
  </si>
  <si>
    <t>४.शेतकऱ्यांची आर्थिक व सामाजिक उन्नती करणे</t>
  </si>
  <si>
    <t>५. ग्रामीण भागातील युवकांना रोजगाराच्या संधी उपलब्ध करणे</t>
  </si>
  <si>
    <t>किसान कनेक्ट फार्मर प्रोदुसर कंपनी</t>
  </si>
  <si>
    <t xml:space="preserve">किशोर किसनराव ढोकचौळे,  मो. नं. ९८२२५०८९६८           Kishordhokchaule@gmail.com      </t>
  </si>
  <si>
    <t xml:space="preserve">होय  </t>
  </si>
  <si>
    <r>
      <t xml:space="preserve">होय असल्यास;कोणत्या कायद्यांतर्गत : - </t>
    </r>
    <r>
      <rPr>
        <b/>
        <sz val="11"/>
        <color theme="1"/>
        <rFont val="Calibri"/>
        <family val="2"/>
        <scheme val="minor"/>
      </rPr>
      <t>कंपनी कायदा २०१३</t>
    </r>
  </si>
  <si>
    <t>१२ मे. टन</t>
  </si>
  <si>
    <t>गट नं. १२२, मु. रंजनखोल, पो. टिळकनगर, ता. राहता, जि.अहमदनगर-४१३७२०
प्लॉट नो. ८८, ७०६, केसर सोलीटर पालम बिच रोड, सेक्टर १९, सानपाडा नवी मुंबई ४००७०५</t>
  </si>
  <si>
    <t>हरभरा डाळ</t>
  </si>
  <si>
    <t>बेसन</t>
  </si>
  <si>
    <t xml:space="preserve">बाजरी </t>
  </si>
  <si>
    <t>सोयाबीन</t>
  </si>
  <si>
    <t>कांदे</t>
  </si>
  <si>
    <t>भाजीपाला</t>
  </si>
  <si>
    <t>२०२१-२०२२</t>
  </si>
  <si>
    <t>२०२२-२०२३</t>
  </si>
  <si>
    <t>तूर</t>
  </si>
  <si>
    <t>20२१ ते २०२२                १५ लाख</t>
  </si>
  <si>
    <t>20२० ते २०२१                 ६ लाख</t>
  </si>
  <si>
    <t>प्रभात अग्रो मल्टी स्टेट को- ओपरेटीव लिमिटेड</t>
  </si>
  <si>
    <t xml:space="preserve"> मु. रंजनखोल, पो. टिळकनगर, ता. राहता, जि.अहमदनगर-४१३७२०
</t>
  </si>
  <si>
    <t>होय असल्यास;कोणत्या कायद्यांतर्गत :----------------------</t>
  </si>
  <si>
    <t>ज्वोरी</t>
  </si>
  <si>
    <t>20२० ते २०२१             ५ लाख</t>
  </si>
  <si>
    <t>20२१ ते २०२२            २५ लाख</t>
  </si>
  <si>
    <t>सी स्पेसियालीटी कम्पौंड</t>
  </si>
  <si>
    <t>प्लॉट नं. D ९२, MIDC श्रीरामपूर, पो. टिळकनगर, ता. श्रीरामपूर, जि.अहमदनगर ४१३७२०</t>
  </si>
  <si>
    <t>कृष्ण तुकाराम संवात्सारकर  मो नं.  ८८८८१८००९९    saispecialitycompounds1217@gmail.com</t>
  </si>
  <si>
    <r>
      <t xml:space="preserve">होय असल्यास;कोणत्या कायद्यांतर्गत :- </t>
    </r>
    <r>
      <rPr>
        <b/>
        <sz val="11"/>
        <color theme="1"/>
        <rFont val="Calibri"/>
        <family val="2"/>
        <scheme val="minor"/>
      </rPr>
      <t>उद्यम आधार</t>
    </r>
  </si>
  <si>
    <t>१७७६ मे. टन</t>
  </si>
  <si>
    <t>20२० ते २०२१            ४ लाख</t>
  </si>
  <si>
    <t>20२१ ते २०२२            ९ लाख</t>
  </si>
  <si>
    <t>इंडियन उमन हाय टेच को- ओपरेटीव लिमिटेड</t>
  </si>
  <si>
    <t>३०००.मे. टन</t>
  </si>
  <si>
    <t xml:space="preserve">हरभरा </t>
  </si>
  <si>
    <t>20२० ते २०२१                ३ लाख</t>
  </si>
  <si>
    <t>20२१ ते २०२२             ३५ लाख</t>
  </si>
  <si>
    <t>कृष्णा आग्रो इंडस्ट्रीज</t>
  </si>
  <si>
    <t>मु. ब्राम्हणगाव, पो. हरेगाव, ता. श्रीरामपूर, जि. अहमदनगर</t>
  </si>
  <si>
    <t>मनोज तुकाराम वेताळ</t>
  </si>
  <si>
    <t>५०० मे. टन</t>
  </si>
  <si>
    <t>2०२० ते २०२१           ७ लाख</t>
  </si>
  <si>
    <t>20२१ ते २०२२        २५ लाख</t>
  </si>
  <si>
    <t>२०२०-२०२१</t>
  </si>
  <si>
    <t>शेतमालाचा वाण, गुणवत्ता १, गुणवत्ता २, गुणवत्ता ३ याप्रमाणे वर्गवारी, संकलन केंद्र पर्यंत शेतकर्यांनी पोहोच करणे , आद्रता १२% पर्यत असावी</t>
  </si>
  <si>
    <t>साफसफाई, प्रतवारी व पाकेजिंग केलेला उच्च गुणवत्तेचा खरेदीदाराच्या कंपनी मध्ये पोहोच विकणे , आद्रता १५% पर्यंत असावी</t>
  </si>
  <si>
    <t xml:space="preserve">शेतमालाचा वाण, गुणवत्ता १, गुणवत्ता २, गुणवत्ता ३ याप्रमाणे वर्गवारी, संकलन केंद्र पर्यंत शेतकर्यांनी पोहोच करणे, कडी कचरा, माती १% ते २ % पर्यंत </t>
  </si>
  <si>
    <t>शेतमालाचा वाण, गुणवत्ता १, गुणवत्ता २, गुणवत्ता ३ याप्रमाणे वर्गवारी, संकलन केंद्र पर्यंत शेतकर्यांनी पोहोच करणे,  कडी कचरा, माती १% ते २ % पर्यंत</t>
  </si>
  <si>
    <t>शेतमालाचा वाण, गुणवत्ता १, गुणवत्ता २, गुणवत्ता ३ याप्रमाणे वर्गवारी, संकलन केंद्र पर्यंत शेतकर्यांनी पोहोच करणे, कडी कचरा, माती १% ते २ % पर्यंत</t>
  </si>
  <si>
    <t>साफसफाई, प्रतवारी व पाकेजिंग केलेला उच्च गुणवत्तेचा खरेदीदाराच्या कंपनी मध्ये पोहोच विकणे , ५० किलो PP BAG मध्ये पाच्किंग असावी</t>
  </si>
  <si>
    <t>विजय सूर्यभान निर्मल,    मो. नं. ९०११०६५०२१     vijay2saipl@gmail.com</t>
  </si>
  <si>
    <t>F.NO.L. 11015/9/2006-L&amp;M</t>
  </si>
  <si>
    <t>950 मे. टन</t>
  </si>
  <si>
    <t>U01111PN2020PTC191054</t>
  </si>
  <si>
    <t>AAICK1017G</t>
  </si>
  <si>
    <t>१. प्रक्रिया उद्योजक 
२. निर्यातदार 
३. नोंदणीकृत खरेदीदार 
४. किरकोळ विक्री करणाऱ्या संस्था /कंपन्या (मॉल) उदा. डी-मार्ट, रीलायन्स ई.
५. इतर ----------</t>
  </si>
  <si>
    <t>UDYAM MH-01-0002884</t>
  </si>
  <si>
    <t>BVDPS9118L</t>
  </si>
  <si>
    <t>AAAAP6042L</t>
  </si>
  <si>
    <t>&gt;12%</t>
  </si>
  <si>
    <t>Divident</t>
  </si>
  <si>
    <t>Repairs &amp; Maintanace</t>
  </si>
  <si>
    <t>Manager</t>
  </si>
  <si>
    <t xml:space="preserve">8-तास प्रति दिन </t>
  </si>
  <si>
    <t>रु. 0.30 प्रति KG</t>
  </si>
  <si>
    <t>per mt</t>
  </si>
  <si>
    <t>Nos</t>
  </si>
  <si>
    <t>Job Work (10%)</t>
  </si>
  <si>
    <t xml:space="preserve">  &gt;2</t>
  </si>
  <si>
    <t>Purchase</t>
  </si>
  <si>
    <t>Sale</t>
  </si>
  <si>
    <t>Purchase Qty</t>
  </si>
  <si>
    <t>Days</t>
  </si>
  <si>
    <t>yild</t>
  </si>
  <si>
    <t>Qty</t>
  </si>
  <si>
    <t>Job Work</t>
  </si>
  <si>
    <t>S Qty</t>
  </si>
  <si>
    <t>Acar</t>
  </si>
  <si>
    <t>Per acer</t>
  </si>
  <si>
    <t>total seed</t>
  </si>
  <si>
    <t>Lodind Unloding</t>
  </si>
  <si>
    <t>transport</t>
  </si>
  <si>
    <t>Veriable cost</t>
  </si>
  <si>
    <t>Fixed cost</t>
  </si>
  <si>
    <t>12th</t>
  </si>
  <si>
    <t>10th</t>
  </si>
  <si>
    <t>AVSPS4680F</t>
  </si>
  <si>
    <t>AJIPG8687Q</t>
  </si>
  <si>
    <t>ARXPV6957B</t>
  </si>
  <si>
    <r>
      <t>5.</t>
    </r>
    <r>
      <rPr>
        <b/>
        <sz val="7"/>
        <color theme="1"/>
        <rFont val="Times New Roman"/>
        <family val="1"/>
      </rPr>
      <t xml:space="preserve">    </t>
    </r>
    <r>
      <rPr>
        <b/>
        <sz val="12"/>
        <color theme="1"/>
        <rFont val="Arial Unicode MS"/>
        <family val="2"/>
      </rPr>
      <t>उपप्रकल्प किती गावांमध्ये राबविण्यात येणार आहे. :</t>
    </r>
    <r>
      <rPr>
        <sz val="11"/>
        <color theme="1"/>
        <rFont val="Arial Unicode MS"/>
        <family val="2"/>
      </rPr>
      <t xml:space="preserve">-    २५ गावांमध्ये </t>
    </r>
  </si>
  <si>
    <t>FOAPB4192D</t>
  </si>
  <si>
    <t>BZXPV1530R</t>
  </si>
  <si>
    <t>Increase Authorised Share Capital &amp; Allotment of Equity Shares</t>
  </si>
  <si>
    <t>Auditor Appointment Document</t>
  </si>
  <si>
    <t>गोदाम</t>
  </si>
  <si>
    <t>व्यापार (trading)
शेतमालाचे संकलन, साफसफाई  व प्रतवारी, आणि घाऊक विक्री</t>
  </si>
  <si>
    <t>व्यापार (trading) शेतमालाचे संकलन, साफसफाई  व प्रतवारी, आणि घाऊक विक्री</t>
  </si>
  <si>
    <t>Cold Storage Manager</t>
  </si>
  <si>
    <t>Store Executive</t>
  </si>
  <si>
    <t>Supervisons</t>
  </si>
  <si>
    <t>Store Boy</t>
  </si>
  <si>
    <t>Mantenance Mechanic</t>
  </si>
  <si>
    <t>Vegetable &amp; Fruits</t>
  </si>
  <si>
    <t>This sheet provide details capacity utilization of machines and also sale, expenses and operating profit of Cold Storage</t>
  </si>
  <si>
    <t>14.2 Facility 3 - Profit and loss of Cold Storage</t>
  </si>
  <si>
    <t>Facility 6 - Cold Storage</t>
  </si>
  <si>
    <t>Facility 6 - Cold Storage Unit</t>
  </si>
  <si>
    <t>Mahindra Balero Pikup Extra Long FB 1.7 TPS Insulated</t>
  </si>
  <si>
    <t>Ripening Chamber</t>
  </si>
  <si>
    <t>ANNEXURE - H</t>
  </si>
  <si>
    <t>HOME</t>
  </si>
  <si>
    <t>ESTIMATES OF ANNUAL POWER, WATER AND FUEL EXPENSES</t>
  </si>
  <si>
    <t>(Figures in lacs.)</t>
  </si>
  <si>
    <t>DESCRIPTION</t>
  </si>
  <si>
    <t>CONNECTED H.P.</t>
  </si>
  <si>
    <t>LOAD IN K.W.</t>
  </si>
  <si>
    <t>A.</t>
  </si>
  <si>
    <t>POWER</t>
  </si>
  <si>
    <t>A.1</t>
  </si>
  <si>
    <t>TOTAL POWER LOAD</t>
  </si>
  <si>
    <t>A 2.</t>
  </si>
  <si>
    <t>UTILISATION (KWH)</t>
  </si>
  <si>
    <t>A 3.</t>
  </si>
  <si>
    <t>LOAD FACTOR</t>
  </si>
  <si>
    <t>A 4.</t>
  </si>
  <si>
    <t>HOURS OF OPERATION PER DAY</t>
  </si>
  <si>
    <t>A 5.</t>
  </si>
  <si>
    <t>TOTAL POWER CONSUMPTION PER DAY (KWH)</t>
  </si>
  <si>
    <t>A 6.</t>
  </si>
  <si>
    <t>DAYS OF OPERATION</t>
  </si>
  <si>
    <t>A 7.</t>
  </si>
  <si>
    <t>TOTAL POWER CONSUMPTION PER ANNUM (UNITS)</t>
  </si>
  <si>
    <t>A.6</t>
  </si>
  <si>
    <t>ANNUAL PERCENTAGE INCREASE IN POWER COST</t>
  </si>
  <si>
    <t>B.</t>
  </si>
  <si>
    <t>USES OF POWR</t>
  </si>
  <si>
    <t>ELECT. BOARD</t>
  </si>
  <si>
    <t>GENSET POWER</t>
  </si>
  <si>
    <t>TOTAL POWER</t>
  </si>
  <si>
    <t>USAGES OF POWER</t>
  </si>
  <si>
    <t>UNITS SUPPLIED</t>
  </si>
  <si>
    <t>COST PER UNIT (IN Rs.)</t>
  </si>
  <si>
    <t>ANNUAL POWER COST</t>
  </si>
  <si>
    <t xml:space="preserve">TOTAL POWER EXP. PER ANNUM AT 100% CAPACITY </t>
  </si>
  <si>
    <t>Power Cost at 100% Capacity Utilisation (In Rs Lakhs)</t>
  </si>
  <si>
    <t>Year 8</t>
  </si>
  <si>
    <t>Year 9</t>
  </si>
  <si>
    <t>Year 10</t>
  </si>
  <si>
    <t>Pre-cooling Charges per MT per Month</t>
  </si>
  <si>
    <t>Ripening Charges per MT per Month</t>
  </si>
  <si>
    <t xml:space="preserve">Pre-Cooling </t>
  </si>
  <si>
    <t>Ripening</t>
  </si>
  <si>
    <t>Total Quantity Pre-Cooling per Annum</t>
  </si>
  <si>
    <t>Total Quantity Ripening per Annum</t>
  </si>
  <si>
    <t>Bhendi</t>
  </si>
  <si>
    <t>Cabbage</t>
  </si>
  <si>
    <t>Spinach</t>
  </si>
  <si>
    <t>Fenugreek</t>
  </si>
  <si>
    <t>Shepu</t>
  </si>
  <si>
    <t>coriander</t>
  </si>
  <si>
    <t>Mosambi</t>
  </si>
  <si>
    <t>मोसंबी</t>
  </si>
  <si>
    <t>Banana</t>
  </si>
  <si>
    <t>भेंडी</t>
  </si>
  <si>
    <t>Ginger</t>
  </si>
  <si>
    <t>11.4 Quantity of Marketable Surplus Produce Considered for Storage Business</t>
  </si>
  <si>
    <t>Cold Storage</t>
  </si>
  <si>
    <t>Total Capacity</t>
  </si>
  <si>
    <t>Vagitable Chember</t>
  </si>
  <si>
    <t>Fruits</t>
  </si>
  <si>
    <t>Bitter Gurd</t>
  </si>
  <si>
    <t>Coliflower</t>
  </si>
  <si>
    <t>Graps</t>
  </si>
  <si>
    <t>Qty For Sale</t>
  </si>
  <si>
    <t xml:space="preserve">Quantity for sale </t>
  </si>
  <si>
    <t>Repairs &amp; Maintanance</t>
  </si>
  <si>
    <t>Sorting Grading &amp; Packaging &amp; Atta Mill</t>
  </si>
  <si>
    <t>साफसफाई व प्रतवारी</t>
  </si>
  <si>
    <t xml:space="preserve">कोल्ड  </t>
  </si>
  <si>
    <t>डाळ मिल</t>
  </si>
  <si>
    <t>बेसन मिल</t>
  </si>
  <si>
    <t>आटा मिल</t>
  </si>
  <si>
    <t>शेती अवजार बँक</t>
  </si>
  <si>
    <t>वाहतुकीचे साधने</t>
  </si>
  <si>
    <t>भाजी पाला व फळे</t>
  </si>
  <si>
    <t>शेत मालाची किमत वर्ष भरतील सरासरी गृहीत आहे</t>
  </si>
  <si>
    <t>Cold Storage, Ripening  &amp; Pre- Cooling Unit</t>
  </si>
  <si>
    <t>Internal Road &amp; Wall Compound</t>
  </si>
  <si>
    <t>OBJECTIVE: -</t>
  </si>
  <si>
    <t>PROSPECTS FOR COLD STORAGE: -</t>
  </si>
  <si>
    <t>COLD STORAGE</t>
  </si>
  <si>
    <t>GENERAL INFORMATION ON STORAGE OF VARIOUS COMMODITES: -</t>
  </si>
  <si>
    <t>PROPOSED PROJECT:</t>
  </si>
  <si>
    <t>LOCATION &amp; ITS SELECTION:</t>
  </si>
  <si>
    <t>TECHNICAL KNOW-HOW:</t>
  </si>
  <si>
    <t>LOCATION, LAND AND BUILDING</t>
  </si>
  <si>
    <t>OPERATIONAL REQUIREMENT AND UTILITIES:</t>
  </si>
  <si>
    <t>PLANT &amp; MACHINERY: -</t>
  </si>
  <si>
    <t>Refrigeration System Required: -</t>
  </si>
  <si>
    <t>EFFLUENT DISPOSAL: -</t>
  </si>
  <si>
    <t>PROJECT COST DETAILS:</t>
  </si>
  <si>
    <t>₹ In Lacs</t>
  </si>
  <si>
    <t>A. Land &amp; Development 06.00</t>
  </si>
  <si>
    <t>B. Building 80.00</t>
  </si>
  <si>
    <t>C. Plant &amp; machinery 65.00</t>
  </si>
  <si>
    <t>D. Electrification &amp; Erection 06.00</t>
  </si>
  <si>
    <t>E. Generator &amp; Other Assets 08.00</t>
  </si>
  <si>
    <t>Total 165.00</t>
  </si>
  <si>
    <t>MEANS OF FINANCE:</t>
  </si>
  <si>
    <t>This project will be financed in following manner:</t>
  </si>
  <si>
    <t>A. Capital Contribution 45.00</t>
  </si>
  <si>
    <t>B. Bank Term Loan 120.00</t>
  </si>
  <si>
    <t>IMPLEMENTATION SCHEDULE:</t>
  </si>
  <si>
    <t>This project will be implemented in following schedule:</t>
  </si>
  <si>
    <t>Sr. No. Activity Period</t>
  </si>
  <si>
    <t>1. Acquisition and Development of Land. 2 months</t>
  </si>
  <si>
    <t>2. Civil Work and building construction 7-8 months.</t>
  </si>
  <si>
    <t>3. Procurement of machinery and equipment 2-3 months</t>
  </si>
  <si>
    <t>4. Arrangement for Power supply 1 month</t>
  </si>
  <si>
    <t>5. Water Supply arrangement 2 weeks</t>
  </si>
  <si>
    <t>6. Erection and installation of machinery 1 month</t>
  </si>
  <si>
    <t>7. Initial Procurements and commissioning 1 month</t>
  </si>
  <si>
    <t>8. Trial Runs 2 weeks</t>
  </si>
  <si>
    <t>9. Commercial Production 1 Week.</t>
  </si>
  <si>
    <t>All the above said activities will start after allotment of plot, and will be completed</t>
  </si>
  <si>
    <t>within three years from allotment as the activities are overlapping and can be done parallely.</t>
  </si>
  <si>
    <t>Financial Analysis:</t>
  </si>
  <si>
    <t>Attached separately.</t>
  </si>
  <si>
    <t>Basis &amp; Assumptions:</t>
  </si>
  <si>
    <t>iii. Sales will be ever increasing along with the goodwill and the demand.</t>
  </si>
  <si>
    <t>Therefore, these are subject to necessary changes from time to time based on the</t>
  </si>
  <si>
    <t>local conditions.</t>
  </si>
  <si>
    <t>The purpose of this study is to explore the feasibility for setting up cold storage units for storing items like Raisins, Turmeric, Vegetables and Milk Products in Maharashtra.</t>
  </si>
  <si>
    <t>The preservation of perishable food stuff is a matter of vital importance in this country, especially, when there is a problem of food storage and the loss of food is abnormally high due to the lack of proper storage facilities, at many producing and consuming centers. It has been observed that certain important nutritive foods like vegetables, fruits, eggs, etc. are available in abundance in the production season and their process drop to un-remunerative levels, thus causing a serious discouragement to increase production. Due to the lack of facilities for proper preservation the commodity is scarce in the off season and the prices shoot up considerably. The provision of cold storage facilities, as has been experienced, would</t>
  </si>
  <si>
    <t>It is therefore desirable to set up a chain of cold and frozen food storage, especially, at the major producing and consuming centers, if feasible.</t>
  </si>
  <si>
    <t>There are many kind of vegetables and fruits which can be stored in cold storage for periods ranging from 2 weeks to over eight months. The present study has been conducted, mainly to explore the feasibility of setting up of a cold storage plant for the storage of commodities like fruits, vegetables and other products in Ahmednagar District.</t>
  </si>
  <si>
    <t>The study of development of cold storage facilities in Maharashtra shows that the total capacity available now is about 2,00,000 MT which is meager, as compared to the capacities available in states like Uttar Pradesh, Bihar, West Bengal, Punjab, etc is therefore clear that a good scope exists for establish additional cold storage facilities in Maharashtra.</t>
  </si>
  <si>
    <t>The refrigerated storage which is includes the cold storage and frozen storage is one of the best known methods of preservation of food stuffs to retain the food value and flavor. Although refrigeration is an expensive process, the cold storage units of properly selected capacities can be economically viable. Te economic concept of the cold storage is that the storage cost must be less than the difference n price of the commodity stored, between flush and lean season. The information on the storage, temperature, storage life and the post cold storage periods of some fruits, vegetables etc. is given in the enclosed annexure.</t>
  </si>
  <si>
    <t>In case of fruits and vegetables, the post cold storage period is an important consideration for deciding whether the cold storage be located at the producing or the consuming centers. Items like potatoes. Raisins and tamarind have a good post cold storage life and therefore, storage of these commodities can be set up both at the producing and the consuming centers.</t>
  </si>
  <si>
    <t>After having considered the need for the project, it has been proposed a cold storage of 1000 MT capacity. This unit will categorize as a Small Scale Industry.</t>
  </si>
  <si>
    <t>In view of the flexibility desired for storage of various products of slightly varying conditions and different quantities it would be necessary to have a multi chamber construction with fferentiated and designated area for storage.</t>
  </si>
  <si>
    <t>This project is proposed in Gut No 116, At- Bramhangoan , Po- Harigaon,  Tal-Shrirampur, Dist- Ahmednagar. This proposed location is located in a highly demanding area being a located on the border of 2 districts and in a small distance from the National Highway NH4. Surrounding icts of Sangli and Satara area famous for various agricultural goods like Turmeric, Raisins and Jaggery, and this is a very useful for cold storage business as the transportation facilities are amply available.</t>
  </si>
  <si>
    <t>The services of the consultants for designing the Plant and for monitoring during the execution will be available. The staff for the operation of the plant also is available in the region.</t>
  </si>
  <si>
    <t>Land required for the project is around 1250 Sq. Mtrs. This location is selected being located just around the National highway and on the brinks of 2 districts which are prominent in the agriculture.</t>
  </si>
  <si>
    <t>The cold storage building will include the cold chambers with a three floor structure, precooling room, loading / unloading and drying shed, machine room, office, toilet block etc. the proximate total built up area with three floor structure in cold chamber as per the guidelines. The cost of the building structure is estimated ₹ 80.00 lacs, which will include the fabrication required for the project.</t>
  </si>
  <si>
    <t>Cold Storage plants, mainly, being the units for preservation do not require any raw material etc. for operation. The refrigeration plant works on a refrigerant medium which can be Freon or ammonia. In India 95 % of the large sized cold storages designed for ammonia refrigerant due to the simplicity or operation, maintenance and the lower cost of the refrigerant which is needed only to make good to make good for the losses which may occur during repairs and maintenance. Freon is, generally, used on smaller plants, which are designed for automatic operation. Now that the freons have been identified as the gases responsible for damaging ozone layer surrounding the earth’s atmosphere, the production of Freon is being phased out gradually and as such the availability would pose a problem in the coming years. The alternatives developed for certain Freons are still not available in many parts of the world.</t>
  </si>
  <si>
    <t>It would, therefore, be suggested that the refrigeration system be designed to work on Ammonia refrigerant with proper technical specification. The main utilities for the operation are the power and water and the estimated quantities are given below:-</t>
  </si>
  <si>
    <t>Power : - 65 KVA, 3 Phase, 50C/S, 400/400 V, Ac supply,</t>
  </si>
  <si>
    <t>Water : - 10000 Ltrs/day. For Plant &amp; Other consumption. The Water will be potable</t>
  </si>
  <si>
    <t xml:space="preserve">                  and reasonably soft.</t>
  </si>
  <si>
    <t>Temperature in cold chambers will be maintained in the range of 2 de. C to B deg. C suitable for storage of beans, raisins, potatoes, other fruits, milk products etc. The daily products intake will be 3 % of the chamber capacity.</t>
  </si>
  <si>
    <t>The machinery will be of indigenous make. The controls will be provided for the regulation of temperatures in different chambers. Adequate safety devices and alarms will be provided as per standard cold storage practices. The plant will include a standby compressor unit and water pump sets.</t>
  </si>
  <si>
    <t>The cold chambers will be insulated wit fiberglass or expanded polystyrene or polyurethane insulation. The thickness of the insulation will be so selected that the heat gains by transmission are reduced to minimum and the temperatures are maintained at low level for many hours.</t>
  </si>
  <si>
    <t>The electrical installation involves provision of standby power supply system with the help of D. G. Set and main power supply from MSEB. The cost of main power supply involves service line charges, Elect. Cabling, Elect. Control panel etc. other misc. items includes fans for drying, fire fighting equipment, weigh scales, office furniture etc.</t>
  </si>
  <si>
    <t>There is no objectionable effluent generated in a cold storage plant and hence the problem of effluent disposal does not arise. The water disposed out from the cooling system and the domestic waste water will be used for gardening and tree plantation purposes.</t>
  </si>
  <si>
    <t xml:space="preserve">     (1) prevent wastage of food stuffs,</t>
  </si>
  <si>
    <t xml:space="preserve">           incentive for increased production,</t>
  </si>
  <si>
    <t xml:space="preserve">    (3) ensure steady suppliers over a longer period of time,</t>
  </si>
  <si>
    <t xml:space="preserve">     (2) ensure remunerative prices to the producer which would, in it, provide the</t>
  </si>
  <si>
    <t xml:space="preserve">    (4) Stabilize prices.</t>
  </si>
  <si>
    <t>ii. The salary and wages for staff and labour has been taken into consideration on the basis of prevailing market rates.</t>
  </si>
  <si>
    <t>i. It is assumed that the unit will operate on for 365 working days in a year as like the industries.</t>
  </si>
  <si>
    <t>iv. Interest rate at 11.5 % is considered in the project profile for both recurring and nonrecurring investment.</t>
  </si>
  <si>
    <t>v. Margin money will vary depending upon the location and scheme adopted by the entrepreneur.</t>
  </si>
  <si>
    <t>vi. Operative period of project cannot be calculated for a trading business, but repayment period of loan is assumed to be years.</t>
  </si>
  <si>
    <t>vii. The costs of land, construction charges, machinery and equipment, raw materials, and consumables, other contingent expenses etc. indicated in the scheme are based on the prices, prevailing at the time of project preparation.</t>
  </si>
  <si>
    <t>Cold Storage is a special kind of room, the temperature of, which is kept very low with the help of machines and precision instruments. India is having a unique geographical position and a wide range of soil thus producing variety of fruits and vegetables like apples, grapes, oranges, potatoes, chillies, ginger, etc. Marine products are also being produced in large quantities due to large coastal areas. The present production level of fruits and vegetables is more than 100 million MT and keeping in view the growth rate of population and demand, the production of perishable commodities is increasing every year. The cold storage facilities are the prime infrastructural component for such perishable commodities. Besides the role of stabilizing market prices and evenly distributing both on demand basis and time basis, the cold storage industry renders other advantages and benefits to both the farmers and the consumers. The farmers get opportunity of producing cash crops to get remunerative prices. The consumers get the supply of perishable commodities with lower fluctuation of prices. Commercially apples, potatoes, oranges are stored on large scale in the cold storages. Other important costly raw materials like dry fruits, chemicals, essences and processed foods like fruit juice/pulp, concentrate dairy products, frozen meat, fish and eggs are being stored in cold storages to regulate marketing channels of these products.</t>
  </si>
  <si>
    <t>TABLE II</t>
  </si>
  <si>
    <t>Optimum storage conditions for vegetables R.H. 85-90% except Beet root, Cabbage,</t>
  </si>
  <si>
    <t>Raddish, Turnips and Peas where R.H. is 90-95%</t>
  </si>
  <si>
    <t>TABLE I</t>
  </si>
  <si>
    <t>Fruits and vegetables which are to be kept in cold storage are sorted out and the bad ones removed. The sorted material is packed preferably in wooden/ plastic carton boxes and then kept in cold storage chambers. The temperature and humidity is to be maintained depending upon the commodity kept in the store. The requirements for successful storage of important fruits and vegetables are shown in Table I and II.</t>
  </si>
  <si>
    <t>200 HP 3 Fase</t>
  </si>
  <si>
    <t>Grains Sorting Grading Unit, Atta Mill, Chana Dal , Toor Dal &amp; Basan</t>
  </si>
  <si>
    <t>Cold Storage, Insulated Vans</t>
  </si>
  <si>
    <t>Raw Chana, Toor, Wheat, bajara, Jowari, Maize, Soyabeen</t>
  </si>
  <si>
    <t>Verius Vegitables &amp; Fruits</t>
  </si>
  <si>
    <t xml:space="preserve">Background : </t>
  </si>
  <si>
    <t xml:space="preserve">Sr No </t>
  </si>
  <si>
    <t xml:space="preserve">Name of the crops </t>
  </si>
  <si>
    <t xml:space="preserve">Area in Ha </t>
  </si>
  <si>
    <t>Mango</t>
  </si>
  <si>
    <t xml:space="preserve">Other including Papaya </t>
  </si>
  <si>
    <t xml:space="preserve">Problems to be addressed: </t>
  </si>
  <si>
    <t>Presently the fruit ripening is done in a very dangerous manner. The Food and drugs department every year seizes and destroys tonnes of mango and banana ripened through a non scientific manner. The fruits ripened by this manner are further available for sale in the suburban area. The fruits are   purchased by the consumers as they are not educated about the safe methods of ripening of  fruits.</t>
  </si>
  <si>
    <t>Fruit ripening using calcium carbide is done by the fruit dealers in Ahmednagar District.</t>
  </si>
  <si>
    <t xml:space="preserve">Most climacteric fruits in India are ripened with industrial grade calcium carbide. Industrial-grade calcium carbide usually contains traces of arsenic and phosphorus, and, thus, use of this chemical for this purpose is illegal in most countries. In India too, use of calcium carbide is strictly banned as per PoFA (Prevention of Food Adultration) Act [Section 44AA]. Calcium carbide, once dissolved in water, produces acetylene which acts as an artificial ripening agent. Acetylene is believed to affect the nervous system by reducing oxygen supply to brain. Arsenic and phosphorus are toxic and exposure may cause severe health hazards. </t>
  </si>
  <si>
    <t xml:space="preserve">Aims and Objectives: </t>
  </si>
  <si>
    <t xml:space="preserve">(ii) To reduce the distress sale of the fruits in the market. </t>
  </si>
  <si>
    <t xml:space="preserve">(iv)  To develop awareness about fruit ripening   facility in the concerned area.  </t>
  </si>
  <si>
    <t xml:space="preserve">(v) To satisfy the consumers in turn the farmers will get more profit. </t>
  </si>
  <si>
    <t xml:space="preserve">Strategy : </t>
  </si>
  <si>
    <t xml:space="preserve">The only safe and worldwide accepted method is using ethylene, which is a natural hormone for ripening when done under controlled temperature and relative humidity conditions. Ethylene being a natural hormone does not pose any health hazard for  consumers of the fruits. It is a de-greening agent, which can turn the peel from green to perfect yellow (in the case of bananas) and maintain the sweetness and aroma of the fruit, thus value addition in the fruit is possible as it looks more appealing. It has been known for a long time that treatment of unripe fruits with ethylene would merely stimulate natural ripening until the fruit itself starts producing ethylene in large quantities. </t>
  </si>
  <si>
    <t xml:space="preserve">Ripening using ethrel </t>
  </si>
  <si>
    <t xml:space="preserve">In one of the simple and harmless techniques, 10 ml of ethrel and 2 gm of sodium hydroxide pellets are mixed in five litres of water taken in a wide mouthed vessel. This vessel is placed inside the ripening chamber near the fruits and the room is sealed air tight. About a third of the room is filled with fruits leaving the remaining area for air circulation. Ripening of fruits takes place in about 12 to 24 hours. In order to reduce the cost of chemical, some ethylene releasing fruits such as papaya and banana can also kept in the same room. </t>
  </si>
  <si>
    <t xml:space="preserve"> Ethylene gas filled in pressurized cans promote fruit ripening in 24-48 hours. </t>
  </si>
  <si>
    <t xml:space="preserve">Methods of exposing fruits to ethylene. </t>
  </si>
  <si>
    <t xml:space="preserve">There are two methods of exposing fruit to ethylene. Trickle method involves trickling ethylene gas into room so as to maintain a concentration of 10 ul per litre, usually for a period of 24 hours. During this time, relative single initial charge of ethylene at a concentration of 20 to 200 ul /litre. Room is then ventilated after 24 hours to prevent carbon dioxide exceeding 1% concentration, which would retard ripening. Rooms that are poorly sealed are packed in vented cartons stacked on pallets, and fruit temperature is controlled by forced air circulation as in a cooling facility. A small fan can be used to ensure a uniform continuous flow of ethylene into and through the room. Forcedair ripening provides more uniform temperature and ethylene concentration throughout ripening room. </t>
  </si>
  <si>
    <t xml:space="preserve">Raw material is abundantly available, Banana, Mango, papaya, available in the nearby area of Ahmednagar District area throughout the year. </t>
  </si>
  <si>
    <t xml:space="preserve">In Ahmednagar District Banana, Mango is grown on a sizeable area. The table purpose  Banana are having verius varieties  which are unique and tasty. In Mango Malcorado, Mangilal, Fernandin, Malgesh are some of the prominent varieties that are region specific and has excellent taste. The area under Mango, Graps,Citrus,Papaya, Banana and other fruits in Ahmednagar District is as follows. </t>
  </si>
  <si>
    <t xml:space="preserve">(i) To establish the 150 tons  capacity of Ripening chamber at  Bramhangaon, Ahmednagar. </t>
  </si>
  <si>
    <t>विद्यमान सोयाबीन मूल्य साखळी</t>
  </si>
  <si>
    <t>कार्ये</t>
  </si>
  <si>
    <t>कार्य करणारे घटक</t>
  </si>
  <si>
    <t>सहायक घटक</t>
  </si>
  <si>
    <t>वापर/उपभोग</t>
  </si>
  <si>
    <t>स्थानिक ग्राहक</t>
  </si>
  <si>
    <t>अंतरराष्ट्रीय ग्राहक</t>
  </si>
  <si>
    <t>वाहतूकदार, विमा कंपनी,वखार , वित्त पुरवठा करणारे</t>
  </si>
  <si>
    <t>किरकोळ व्यापार</t>
  </si>
  <si>
    <t>किरकोळ विक्रेते</t>
  </si>
  <si>
    <t>डी ओ सी व्यापारी</t>
  </si>
  <si>
    <t>घाऊक व्यापार</t>
  </si>
  <si>
    <t>घाऊक व्यापारी</t>
  </si>
  <si>
    <t>निविष्टा विक्रेते</t>
  </si>
  <si>
    <t>प्रक्रिया युनिट</t>
  </si>
  <si>
    <t>बियाणे प्रक्रियादार</t>
  </si>
  <si>
    <t>विपणन</t>
  </si>
  <si>
    <t>खेडा खरेदीदार</t>
  </si>
  <si>
    <t>कृषीउत्त्पन्न बाजार समिती</t>
  </si>
  <si>
    <t>अडतदार</t>
  </si>
  <si>
    <t>उत्पादन</t>
  </si>
  <si>
    <t>उत्पादक शेतकरी</t>
  </si>
  <si>
    <t>निविष्टा पुरवठा</t>
  </si>
  <si>
    <t>निविष्टाउत्पादक</t>
  </si>
  <si>
    <t>निविष्टा उत्पादक कंपनी</t>
  </si>
  <si>
    <t>विद्यमान मक्का मूल्य साखळी</t>
  </si>
  <si>
    <t>पशुखाद्य निर्माती</t>
  </si>
  <si>
    <t>विद्यमान  गहू, बाजरी व ज्वारी मूल्य साखळी</t>
  </si>
  <si>
    <t>विद्यमान  हरभरा व तूर मूल्य साखळी</t>
  </si>
  <si>
    <t>विद्यमान भाजीपाला  मूल्य साखळी</t>
  </si>
  <si>
    <t>पालक, मेथी, शेपू,कोथंबीर,बटाटे, टमाटो, कोबी, फ्लावर, कारले, बंगे,  इ.</t>
  </si>
  <si>
    <t>वाहतूकदार,  वित्त पुरवठा करणारे</t>
  </si>
  <si>
    <t>विद्यमान फळे  मूल्य साखळी</t>
  </si>
  <si>
    <t>डाळिंब, द्राक्षे, मोसंबी, केळी इ.</t>
  </si>
  <si>
    <t>प्रस्तावित सोयाबीन मूल्यसाखळी</t>
  </si>
  <si>
    <t>कृषी विभाग,वाहतूकदार, विमा कंपनी,वखार , वित्त पुरवठा करणारे</t>
  </si>
  <si>
    <t xml:space="preserve">अग्रोबाबा प्रोडुसर कंपनी लिमिटेड  </t>
  </si>
  <si>
    <t>तेल व्यापारी</t>
  </si>
  <si>
    <t>साफसफाई व प्रतवारी करणे</t>
  </si>
  <si>
    <t>अग्रोबाबा प्रोडुसर कंपनी लिमिटेड  साफसफाई व प्रतवारी युनिट</t>
  </si>
  <si>
    <t>वखार सेवा</t>
  </si>
  <si>
    <t>अग्रोबाबा प्रोडुसर कंपनी लिमिटेड  (वखार)</t>
  </si>
  <si>
    <t>एकत्रीकरण</t>
  </si>
  <si>
    <t>निविष्टा उत्पादन व पुरवठा</t>
  </si>
  <si>
    <t>प्रस्तावित मक्का मूल्यसाखळी</t>
  </si>
  <si>
    <t>प्रक्रियादार</t>
  </si>
  <si>
    <t>पशुखाद्य प्रक्रिया युनिट</t>
  </si>
  <si>
    <t xml:space="preserve">अग्रोबाबा प्रोडुसर कंपनी लिमिटेड </t>
  </si>
  <si>
    <t>प्रस्तावित गहू, बाजरी व ज्वारी मूल्यसाखळी</t>
  </si>
  <si>
    <t>अग्रोबाबा प्रोडुसर कंपनी लिमिटेड (साफसफाई व प्रतवारी युनिट)</t>
  </si>
  <si>
    <t>अग्रोबाबा प्रोडुसर कंपनी लिमिटेड (वखार )</t>
  </si>
  <si>
    <t>प्रस्तावित हरभरा व तूर मूल्यसाखळी</t>
  </si>
  <si>
    <t>डाळ मिल , बेसन मिल</t>
  </si>
  <si>
    <t>शेतकरी उत्पादक संघ (डाळ मिल , बेसन मिल)</t>
  </si>
  <si>
    <t>शेती पूरक यंत्र सामोग्री पुरवठा</t>
  </si>
  <si>
    <t>प्रस्तावित भाजीपाला मूल्यसाखळी</t>
  </si>
  <si>
    <t>कृषी विभाग,वाहतूकदार, विमा कंपनी,कोल्ड स्टोरेज , वित्त पुरवठा करणारे</t>
  </si>
  <si>
    <t>कोल्ड स्टोरेज सेवा</t>
  </si>
  <si>
    <t>कोल्ड स्टोरेज</t>
  </si>
  <si>
    <t>प्रस्तावित फळे मूल्यसाखळी</t>
  </si>
  <si>
    <t xml:space="preserve">भाग -7 . सामाजिक कृती आराखडा </t>
  </si>
  <si>
    <t xml:space="preserve">1. सामाजिक कृती आराखडा अंमलबजावणीकरीता जबाबदार व्यक्तीचे नाव - </t>
  </si>
  <si>
    <t>Index</t>
  </si>
  <si>
    <t>Section 2 – About selected Crops, marketable surplus and its value chain</t>
  </si>
  <si>
    <t xml:space="preserve">Section 4 Sub Project Implementation Plan </t>
  </si>
  <si>
    <t>संस्थेने प्रकल्पाकरिता निवडलेल्या पिकांन पैकी मागील वर्षात सभासदांनी उत्पादित केलेल्या शेतमाला पैकी काही प्रमाणात शेतमाल खरेदी करून करार झालेल्या खरेदीदारास विक्री केलेली आहे. संस्थेच्या २६२ सभासदान पैकी उत्पादित केलेल्या शेतमाला पैकी संस्थेने मक्का ४२ टन खारेदिकारून खरेदीदारास विक्री केलेली आहे. गहू ६ टन खरेदी करून खरेदीदारास विक्री केलेली आहे. हरभरा उत्पादक सभासदान कडून १४ टन हरभरा खरेदी करून खरेदीदारास विक्री केलेली आहे. त्यामुळे शेतकर्यांना त्यांच्या मालाची योग्य किमंत मिळालेली आहे. शेतकर्यांना शेतमाल विक्री करिता व्यापारी किंवा कृषी उत्पन्न बाजार समिती मध्ये जावे लागले नाही त्यामुळे त्यांची अडत व हमाली कपात न झाल्या मुळे शेतकर्यांना बाजार भाव पेक्ष्या ५% जास्त भाव मिळाला आहे.</t>
  </si>
  <si>
    <t xml:space="preserve">शेतमालाची विद्यामाल मूल्यसाखळी :-                                                              
बि, बियाणे\, खाते व औषेदे उत्पादक कंपनी त्यांच्या विक्रेत्या मार्फत बि, बियाणे\, खाते व औषेदे यांची विक्री शेतकर्यांना करते. त्यात विक्रेते शेतकऱ्यांची पिळवणूक करतात. जास्त दर आकारतात, माल शिल्लक नसल्याचे सांगतात.
शेतकरी आपला उत्पादित केलेला शेमल विक्री करिता कृषी उत्पन्न बाजार समिती अडतदार खेद खरेदीदार यांच्या मार्फत विक्री करतात. अडतदार शेतकऱ्यांच्या मालाच्या विक्री किमतीतून अडत, हमाली अशा प्रकारचे अनेक कापती करतात त्यामुळे मिळालेला दर आणखी कमी होतो व शेतकर्यांना शेत्माची कमी किमत मिळते.
</t>
  </si>
  <si>
    <t>घाऊक व्यापारी कृषी उत्त्पन्न बाजार समिती , अडतदार यांच्या कडून शेतमाल खरेदी करतात व तो शेतमाल प्रक्रिया दारांना विकतात प्रक्रियादार त्यावर प्रक्रिया करून पुन्हा घाऊक व्यापार्यांना विक्री करतात, घाऊक व्यापारी किरकोळ व्यापार्यांना विक्री करतात, किरकोळ व्यापारी ग्राहकांना विकतात. यासर्व विक्रीच्या साखळी मध्ये प्रत्तेक स्थरावर मालाची भाव वाढ होते. ग्राहकान पर्यंत माल पोहचे पर्यंत मालाचा भाव दुप्पट ते तीन पट वाढतो.</t>
  </si>
  <si>
    <t>The organization has planned the construction of the project as follows. Cleaning and grading as well as construction of Dal Mill Unit building will start in April 2022. The building construction advertisement will be published in the local newspapers first. Accordingly, tenders will be invited from the concerned construction contractors for the construction of the building. Upon receipt of the tender, the appropriate tender will be approved in the general meeting by all the directors and the contractor will be given the construction work.</t>
  </si>
  <si>
    <t>Also all other construction advertisements will be published in the local newspaper and at the general meeting the construction work will be given to the right contractor so that there will be transparency in the construction work. The advertisement for the construction of the warehouse will be issued in the first week of July 2020 and tenders will be invited accordingly.</t>
  </si>
  <si>
    <t>Internal Roads and Wall Compound Advertisement of the related work will be published in the local newspaper in the month of October 2022. By then the construction of all the buildings will be almost complete. This will make the construction of internal roads and wall compounds easier.</t>
  </si>
  <si>
    <t>Project implementation planning</t>
  </si>
  <si>
    <t>The purchase of farm implements will take place in the first week of April 2022. Therefore, the organization will provide agricultural implements to the farmers for their agricultural work at a discounted rate. This will make it easier for farmers to do farm work.</t>
  </si>
  <si>
    <t>The organization will place advertisements in local newspapers for the purchase of machinery. Accordingly, tenders of the missionaries will be invited and a general meeting of the Board of Directors will be convened and appropriate tenders will be selected from them.</t>
  </si>
  <si>
    <t>An advertisement for purchase of flour mill dal mill machinery will be published in a local newspaper on July 22. Appropriate tenders will be selected by holding a general meeting of the Board of Directors.</t>
  </si>
  <si>
    <t>In January 2023, advertisements for machinery and other construction related to cold storage construction will be published in the local newspaper. Appropriate tenders will be selected at the general meeting of the Board of Directors.</t>
  </si>
  <si>
    <t>to</t>
  </si>
  <si>
    <t>भाग -१ समुदाय आधारीत संस्थेची प्राथमिक माहिती</t>
  </si>
  <si>
    <t>Agrobaba Producer Company Limited (APCL) ही महाराष्ट्रातील शेतकऱ्यांच्या मालकीची, व्यवस्थापित आणि चालवलेली कंपनी आहे. परिसरातील लहान आणि अल्पभूधारक शेतकऱ्यांना आधार देणे हे कंपनीचे मुख्य उद्दिष्ट आहे. यासाठी सध्या आमचे दोनशे बासष्ट भागधारक आणि अधिकृत शेअर भांडवल रु. 50 लाख आणि देय भाग भांडवल रु. 41,80,000. कंपनीचे मुख्य कार्यालय ब्राम्हणगाव, ता. श्रीरामपूर, जि. अहमदनगर येथे आहे. कंपनीने 2020-21 या वर्षात श्रीरामपूर, नेवासा, शेवगाव, राहुरी, राहाता, पाथर्डी या भागातील भागधारक आणि शेतकऱ्यांच्या फायद्यासाठी कृषी मालाची खरेदी सुरू केली. एकूण 262 पुरुष आणि महिला शेतकरी त्याचे भागधारक आहेत. नुकतेच अधिकृत भाग भांडवल रु. ५० लाख आणि भरलेले भाग भांडवल रु. 41,80,000. निर्माण केले होते. पेड अप शेअर कॅपिटल आणि विक्री प्रक्रियेतून 50 लाख रुपयांच्या खेळत्या भांडवलाची व्यवस्था करण्यात आली. या खेळत्या भांडवलासह, दर्जेदार बियाणे, कीटकनाशके, कीटकनाशके सेंद्रिय निविष्ठा, वैज्ञानिक शेती अवजारे यांसारख्या कृषी निविष्ठा भागधारकांना आणि गावकऱ्यांना विकल्या जातात. 2020-21 च्या स्वतःच्या वर्षांच्या कामकाजादरम्यान या प्रदेशातील दोनशेहून अधिक शेतकऱ्यांना त्यांच्या गरजेनुसार आणि गुणवत्तेनुसार वेळेवर निविष्ठा उपलब्ध करून देण्यात आल्या. या कालावधीत चाळीस लाखांपेक्षा जास्त किमतीच्या निविष्ठांची विक्री करण्यात आली. अंदाजे अंदाजानुसार, कंपनीने इनपुट देऊन, स्थानिक पातळीवर शेतकर्‍यांना त्यांच्या लाभार्थ्यांना प्रचलित बाजारभावानुसार दहा लाख रुपयांची बचत प्रदान केली आहे, आणि कमीत कमी फायदा मिळवून दिला आहे.</t>
  </si>
  <si>
    <t>CEO Appointment Documents</t>
  </si>
  <si>
    <t>Share Allotment Documents</t>
  </si>
  <si>
    <t>Aceptance of SMART Project DPR               Bord Resulation</t>
  </si>
  <si>
    <t>List Of Share Holders</t>
  </si>
  <si>
    <t>Company KYC</t>
  </si>
  <si>
    <t>Draft Layout</t>
  </si>
  <si>
    <t>Warehouse, Internal Road &amp; Wall Compound</t>
  </si>
  <si>
    <t>No Objection Certificate from Grampanchayat</t>
  </si>
  <si>
    <t>Bank Statement</t>
  </si>
  <si>
    <t xml:space="preserve"> License &amp; Certificates</t>
  </si>
  <si>
    <t>Bord Resulation Regarding 25% Divident &amp; 35 % Woman Members</t>
  </si>
  <si>
    <t>Lease Dead Document</t>
  </si>
  <si>
    <t>Exotic Vegitables</t>
  </si>
  <si>
    <t>Bank Intent Letter</t>
  </si>
  <si>
    <t>Name of the Document</t>
  </si>
  <si>
    <t>Page no</t>
  </si>
  <si>
    <t>Documents</t>
  </si>
  <si>
    <t xml:space="preserve">License/other </t>
  </si>
  <si>
    <t xml:space="preserve">Registration certificate of organization </t>
  </si>
  <si>
    <t xml:space="preserve">List of members/shareholder of the organization </t>
  </si>
  <si>
    <r>
      <rPr>
        <sz val="7"/>
        <color theme="1"/>
        <rFont val="Times New Roman"/>
        <family val="1"/>
      </rPr>
      <t xml:space="preserve"> </t>
    </r>
    <r>
      <rPr>
        <sz val="11"/>
        <color theme="1"/>
        <rFont val="Calibri"/>
        <family val="2"/>
        <scheme val="minor"/>
      </rPr>
      <t>Audit report</t>
    </r>
  </si>
  <si>
    <r>
      <rPr>
        <sz val="7"/>
        <color theme="1"/>
        <rFont val="Times New Roman"/>
        <family val="1"/>
      </rPr>
      <t xml:space="preserve"> </t>
    </r>
    <r>
      <rPr>
        <sz val="11"/>
        <color theme="1"/>
        <rFont val="Calibri"/>
        <family val="2"/>
        <scheme val="minor"/>
      </rPr>
      <t>CBO Bank statement</t>
    </r>
  </si>
  <si>
    <t>KYC of Applicant Firm (PAN and GST Certificate Copy)</t>
  </si>
  <si>
    <t xml:space="preserve">Resolution of board of directors - Approval to  DPR </t>
  </si>
  <si>
    <t>Land ownership document / land lease agreement</t>
  </si>
  <si>
    <t xml:space="preserve">Propose site map presenting road access and surrounding </t>
  </si>
  <si>
    <t xml:space="preserve">No Objection Certificate of Panchyat for setting up of business activities </t>
  </si>
  <si>
    <t>Forward linkages -  MoUs with Buyers</t>
  </si>
  <si>
    <t xml:space="preserve">Backward linkages – MoUs for produce aggregation - MoUs with farmers groups/ SHGs/ federations/FPC/other CBOs etc. </t>
  </si>
  <si>
    <t>Please attach authorized quotations- machineries  &amp; equipment’s /estimate- construction of building / pack house</t>
  </si>
  <si>
    <r>
      <rPr>
        <sz val="7"/>
        <color theme="1"/>
        <rFont val="Times New Roman"/>
        <family val="1"/>
      </rPr>
      <t xml:space="preserve"> </t>
    </r>
    <r>
      <rPr>
        <sz val="11"/>
        <color theme="1"/>
        <rFont val="Calibri"/>
        <family val="2"/>
        <scheme val="minor"/>
      </rPr>
      <t xml:space="preserve">Water/ electricity  connection  (proof) </t>
    </r>
  </si>
  <si>
    <t>Letter of intent from bank/financial institution for financing the project</t>
  </si>
  <si>
    <t>Director Appointment Documents</t>
  </si>
  <si>
    <t>Increase Authorized Share Capital &amp; Allotment of Equity Share  Documents</t>
  </si>
  <si>
    <t>Auditor Appointment  Documents</t>
  </si>
  <si>
    <t>CEO Appointment  Documents</t>
  </si>
  <si>
    <t>Bord Resulation Regarding 25 % Divident &amp; 35 Womans's Member</t>
  </si>
  <si>
    <t>To</t>
  </si>
  <si>
    <t>Bank Finance - Long Term Loan &amp; CC</t>
  </si>
  <si>
    <t>This sheet provide details capacity utilization of machines and also sale, expenses and operating profit of F &amp; V Processing Unit</t>
  </si>
  <si>
    <t>Cold Storage Job Work</t>
  </si>
  <si>
    <t>Quantity to be consider for Job Work (20%)</t>
  </si>
  <si>
    <t>Facility 6 - F &amp; V Processing Unit &amp; Cold Storage</t>
  </si>
  <si>
    <t>5.2.9 Financial Indicators</t>
  </si>
  <si>
    <t>2.2.7 - Tax Schedule</t>
  </si>
  <si>
    <t>Director Cast Certificate</t>
  </si>
  <si>
    <t>Traning Certificate</t>
  </si>
  <si>
    <t>Certificate of no Encroachment अतिक्रमण नसल्याचा दाखला</t>
  </si>
  <si>
    <t>Not more than one member in Brod of Director certificate</t>
  </si>
  <si>
    <t>238(b)</t>
  </si>
  <si>
    <t>19 (b)</t>
  </si>
  <si>
    <t>30 % Womens Member Certificate</t>
  </si>
  <si>
    <t xml:space="preserve"> Certificate of Not more than one member in Brod of Director certificate</t>
  </si>
  <si>
    <t>Responsible Person Bord Resulation</t>
  </si>
  <si>
    <t>346 (b)</t>
  </si>
  <si>
    <t>3.5 - As per IT Act</t>
  </si>
  <si>
    <t>5.1 Closing and Opening Stock Calculation</t>
  </si>
  <si>
    <t>5.2 Working Capital Calculation</t>
  </si>
  <si>
    <t xml:space="preserve"> Grains Crops and  Production Details</t>
  </si>
  <si>
    <t>10.3 Quantity of Marketable Surplus Produce Considered for Trading Business</t>
  </si>
  <si>
    <t>10.4 Quantity of Marketable Surplus Produce Considered for Processing Business</t>
  </si>
  <si>
    <t>10.5 Crop-wise Area Considered for Agri Input Service Centre</t>
  </si>
  <si>
    <t>Facility 3 - Warehouse</t>
  </si>
  <si>
    <t>14.1 - Capacity Utilization</t>
  </si>
  <si>
    <t>14.2 - Facility 3 - Profit and loss of Warehouse</t>
  </si>
  <si>
    <t>Facility 4 - Custom Hiring</t>
  </si>
  <si>
    <t>15.1 - Capacity Utlization</t>
  </si>
  <si>
    <t>15.2 - Facility 4 - Profit and loss of Custom Hiring</t>
  </si>
  <si>
    <t>Facility 5 - Agri Input</t>
  </si>
  <si>
    <t>16.1 - Capacity Utlization</t>
  </si>
  <si>
    <t>16.2 - Facility 5 - Profit and loss of Agri Input</t>
  </si>
  <si>
    <t>11.1 - Details of members and non- members</t>
  </si>
  <si>
    <t xml:space="preserve">11.2 - Statement Showing Area,production,productivity and marketable Surplus of Crops </t>
  </si>
  <si>
    <t>11.3 - Quantity of Marketable Surplus Produce Considered for Vagitable &amp; Fruits  Trading Business</t>
  </si>
  <si>
    <t>11.4 - Quantity of Marketable Surplus Produce Considered for Storage Business</t>
  </si>
  <si>
    <t>11.5 - Crop-wise Area Considered for Agri Input Service Centre</t>
  </si>
  <si>
    <t>17.1 - Producer/Capacity Utlization</t>
  </si>
  <si>
    <t>17.2 - Quantity of Marketable Surplus Produce Considered for Storage Business</t>
  </si>
  <si>
    <t>17.3 Activity 6 - Profit and loss of F &amp; V Processing Unit &amp; cold Storage</t>
  </si>
  <si>
    <t>b42</t>
  </si>
  <si>
    <t>Current Asset</t>
  </si>
  <si>
    <t>Diposit With Bank</t>
  </si>
  <si>
    <t>25 Kg</t>
  </si>
  <si>
    <t>Increase in Account payable</t>
  </si>
  <si>
    <t>Increase in Account Receivable</t>
  </si>
  <si>
    <t>Increase in Closing Stock</t>
  </si>
  <si>
    <t xml:space="preserve">Facility 4 - Custom Hiring </t>
  </si>
  <si>
    <t>Civil Work of Dal Mill Processing Unit</t>
  </si>
  <si>
    <t>Sq. Mtrs</t>
  </si>
  <si>
    <t>Weighing Bridge</t>
  </si>
  <si>
    <t>ok</t>
  </si>
  <si>
    <t>Rate/Unit</t>
  </si>
  <si>
    <t>Total Amount</t>
  </si>
  <si>
    <t>Percentage%</t>
  </si>
  <si>
    <t xml:space="preserve">Pre-harvest </t>
  </si>
  <si>
    <t xml:space="preserve">B </t>
  </si>
  <si>
    <t>Post-Harvest</t>
  </si>
  <si>
    <t>Others</t>
  </si>
  <si>
    <t>IT &amp; IT Infrastructure</t>
  </si>
  <si>
    <t>Preliminary/Preoperative Expenses</t>
  </si>
  <si>
    <t>Total*</t>
  </si>
  <si>
    <t>Sr. No</t>
  </si>
  <si>
    <t>Duration ( In days)</t>
  </si>
  <si>
    <t>Duration ( I days)</t>
  </si>
  <si>
    <t>Cost of civil work (Distilation unit,Electric room,Finished good storage,Fractilation unit,Office building,Open boiler shed,Raw material shed,Security room,Specimen testing lab,Weigh bridge cabin,WBM road,Wire fencing,Labour room,Community hall,Weigh bridge,Compound wall)</t>
  </si>
  <si>
    <t>180 Days</t>
  </si>
  <si>
    <t>Refrigeration Sysytem</t>
  </si>
  <si>
    <t>Whole year</t>
  </si>
  <si>
    <t>Grading &amp; Sorting</t>
  </si>
  <si>
    <t>16 Weeks</t>
  </si>
  <si>
    <t>Frozen Unit</t>
  </si>
  <si>
    <t>90 Days</t>
  </si>
  <si>
    <t xml:space="preserve">Solar Power Unit for Energy </t>
  </si>
  <si>
    <t>Other Machines</t>
  </si>
  <si>
    <t>Civil Work</t>
  </si>
  <si>
    <t>Packaging-25 Kg</t>
  </si>
  <si>
    <t>Facility 1 - Processing Unit- Dal Mill</t>
  </si>
  <si>
    <t>Final Product</t>
  </si>
  <si>
    <t>GST @ 18%</t>
  </si>
  <si>
    <t xml:space="preserve">The project internal rate of return shall be more than 10% </t>
  </si>
  <si>
    <t>Civil Work of Warehouse</t>
  </si>
  <si>
    <t>2 TPH</t>
  </si>
  <si>
    <t>Civil Estimation</t>
  </si>
  <si>
    <t>Warehouse Licencing</t>
  </si>
  <si>
    <t>DPR Prepartion</t>
  </si>
  <si>
    <t>60 MT Weighing Bridge</t>
  </si>
  <si>
    <t>Electricity Connection</t>
  </si>
  <si>
    <t>HT Line</t>
  </si>
  <si>
    <t>DTC 200 kva</t>
  </si>
  <si>
    <t>LT Line 3P5W</t>
  </si>
  <si>
    <t>Other Expenses</t>
  </si>
  <si>
    <t xml:space="preserve">                 -   </t>
  </si>
  <si>
    <t>Total* </t>
  </si>
  <si>
    <t xml:space="preserve">packaging Exp </t>
  </si>
  <si>
    <t>GRADER 2.5 TPH</t>
  </si>
  <si>
    <t>GRAVITY SEPARATOR 5 FAN WITH A.C. DRIVE</t>
  </si>
  <si>
    <t>MAGNATIK DESTONER 1200 MM</t>
  </si>
  <si>
    <t>BUCKET ELEVATOR</t>
  </si>
  <si>
    <t>STROGE TANK 4 TPH</t>
  </si>
  <si>
    <t>ROUNG GRADER WITH BLOWER</t>
  </si>
  <si>
    <t>EMERY ROL 1 SET ,ROLE -14/33 (2tph)</t>
  </si>
  <si>
    <t>CONVEYOR POLISHAR AND BUP POLSHAR</t>
  </si>
  <si>
    <t>SHELLER COMPALET</t>
  </si>
  <si>
    <t>CONVER TO WATER OIL MIXING,</t>
  </si>
  <si>
    <t>DRAYER</t>
  </si>
  <si>
    <t>STARTER AND CABLE</t>
  </si>
  <si>
    <t>HAMAR MILL</t>
  </si>
  <si>
    <t xml:space="preserve">DAL GRADER 3 SCREEN </t>
  </si>
  <si>
    <t>BASEN GRADER</t>
  </si>
  <si>
    <t>COLOUR SORTEX MACHINE</t>
  </si>
  <si>
    <t>ATO.BAG CLOSER MACHINE</t>
  </si>
  <si>
    <t>ALL MACHIN STAND AND FOUNDATION</t>
  </si>
  <si>
    <t>FITTING AND INSTALLATION</t>
  </si>
  <si>
    <t>TRANSPORTATION</t>
  </si>
  <si>
    <t>0.5 TPH</t>
  </si>
  <si>
    <t>Dal (65%) Grade -A</t>
  </si>
  <si>
    <t xml:space="preserve">(Grade B and Broken) </t>
  </si>
  <si>
    <t>Besan Unit</t>
  </si>
  <si>
    <t>Facility 2 - Besan Unit</t>
  </si>
  <si>
    <t xml:space="preserve">Bengal Gran (Grade B and Broken) </t>
  </si>
  <si>
    <t xml:space="preserve">Facility 1 - Grain Processing Unit - Dal Mill </t>
  </si>
  <si>
    <t>12.1 - Producers/ Capacity Utilization</t>
  </si>
  <si>
    <t xml:space="preserve">12.2- Facility 1 - Profit and loss of Grain Processing Unit - Dal Mill </t>
  </si>
  <si>
    <t>13.1 Producers/ Capacity Utilization</t>
  </si>
  <si>
    <t>13.2 Facility 2 - Profit and loss of Besan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</si>
</sst>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64" formatCode="_(* #,##0.00_);_(* \(#,##0.00\);_(* &quot;-&quot;??_);_(@_)"/>
    <numFmt numFmtId="165" formatCode="&quot;Rs.&quot;\ #,##0.00;[Red]&quot;Rs.&quot;\ \-#,##0.00"/>
    <numFmt numFmtId="166" formatCode="_-* #,##0.00_-;\-* #,##0.00_-;_-* &quot;-&quot;??_-;_-@_-"/>
    <numFmt numFmtId="167" formatCode="_-* #,##0_-;\-* #,##0_-;_-* &quot;-&quot;??_-;_-@_-"/>
    <numFmt numFmtId="168" formatCode="_-&quot;Rs.&quot;* #,##0.00_-;\-&quot;Rs.&quot;* #,##0.00_-;_-&quot;Rs.&quot;* &quot;-&quot;??_-;_-@_-"/>
    <numFmt numFmtId="169" formatCode="_(* #,##0_);_(* \(#,##0\);_(* &quot;-&quot;??_);_(@_)"/>
    <numFmt numFmtId="170" formatCode="0.0%"/>
    <numFmt numFmtId="171" formatCode="_ * #,##0_ ;_ * \-#,##0_ ;_ * &quot;-&quot;??_ ;_ @_ "/>
    <numFmt numFmtId="172" formatCode="_-&quot;£&quot;* #,##0.00_-;\-&quot;£&quot;* #,##0.00_-;_-&quot;£&quot;* &quot;-&quot;??_-;_-@_-"/>
    <numFmt numFmtId="173" formatCode="#,##0_ ;[Red]\-#,##0\ "/>
    <numFmt numFmtId="174" formatCode="#,##0.00_ ;[Red]\-#,##0.00\ "/>
    <numFmt numFmtId="175" formatCode="0.0"/>
    <numFmt numFmtId="176" formatCode="_(* #,##0.0_);_(* \(#,##0.0\);_(* &quot;-&quot;??_);_(@_)"/>
    <numFmt numFmtId="177" formatCode="[&gt;=10000000]#\,##\,##\,##0;[&gt;=100000]#\,##\,##0;##,##0"/>
    <numFmt numFmtId="178" formatCode="[$-4000439]0"/>
    <numFmt numFmtId="179" formatCode="[$-4000439]0.#"/>
    <numFmt numFmtId="180" formatCode="[$-4000439]0.00%"/>
    <numFmt numFmtId="181" formatCode="#,##0.0"/>
    <numFmt numFmtId="182" formatCode="&quot;Rs.&quot;\ #,##0.0;[Red]&quot;Rs.&quot;\ \-#,##0.0"/>
  </numFmts>
  <fonts count="138">
    <font>
      <sz val="11"/>
      <color theme="1"/>
      <name val="Calibri"/>
      <family val="2"/>
      <scheme val="minor"/>
    </font>
    <font>
      <sz val="11"/>
      <color theme="1"/>
      <name val="Calibri"/>
      <family val="2"/>
      <scheme val="minor"/>
    </font>
    <font>
      <b/>
      <sz val="11"/>
      <color theme="1"/>
      <name val="Calibri"/>
      <family val="2"/>
      <scheme val="minor"/>
    </font>
    <font>
      <sz val="13"/>
      <color indexed="8"/>
      <name val="Times New Roman"/>
      <family val="1"/>
    </font>
    <font>
      <sz val="11"/>
      <color indexed="8"/>
      <name val="Times New Roman"/>
      <family val="1"/>
    </font>
    <font>
      <sz val="12"/>
      <name val="Times New Roman"/>
      <family val="1"/>
    </font>
    <font>
      <b/>
      <sz val="11"/>
      <color indexed="8"/>
      <name val="Times New Roman"/>
      <family val="1"/>
    </font>
    <font>
      <sz val="13"/>
      <name val="Times New Roman"/>
      <family val="1"/>
    </font>
    <font>
      <sz val="10"/>
      <name val="Arial"/>
      <family val="2"/>
    </font>
    <font>
      <b/>
      <sz val="16"/>
      <color theme="1"/>
      <name val="Calibri"/>
      <family val="2"/>
      <scheme val="minor"/>
    </font>
    <font>
      <sz val="12"/>
      <color indexed="8"/>
      <name val="Times New Roman"/>
      <family val="1"/>
    </font>
    <font>
      <b/>
      <sz val="11"/>
      <color rgb="FFFFFFFF"/>
      <name val="Garamond"/>
      <family val="1"/>
    </font>
    <font>
      <sz val="11"/>
      <color rgb="FF000000"/>
      <name val="Garamond"/>
      <family val="1"/>
    </font>
    <font>
      <b/>
      <sz val="11"/>
      <color rgb="FF000000"/>
      <name val="Garamond"/>
      <family val="1"/>
    </font>
    <font>
      <b/>
      <sz val="11"/>
      <name val="Calibri"/>
      <family val="2"/>
    </font>
    <font>
      <b/>
      <sz val="11"/>
      <name val="Calibri"/>
      <family val="2"/>
      <scheme val="minor"/>
    </font>
    <font>
      <u/>
      <sz val="10"/>
      <color indexed="12"/>
      <name val="Arial"/>
      <family val="2"/>
    </font>
    <font>
      <sz val="11"/>
      <name val="Calibri"/>
      <family val="2"/>
    </font>
    <font>
      <sz val="11"/>
      <color indexed="8"/>
      <name val="Calibri"/>
      <family val="2"/>
    </font>
    <font>
      <b/>
      <u/>
      <sz val="11"/>
      <color indexed="12"/>
      <name val="Calibri"/>
      <family val="2"/>
    </font>
    <font>
      <i/>
      <sz val="11"/>
      <color indexed="10"/>
      <name val="Calibri"/>
      <family val="2"/>
    </font>
    <font>
      <b/>
      <sz val="11"/>
      <color theme="0"/>
      <name val="Times New Roman"/>
      <family val="1"/>
    </font>
    <font>
      <sz val="12"/>
      <color theme="0"/>
      <name val="Times New Roman"/>
      <family val="1"/>
    </font>
    <font>
      <b/>
      <sz val="12"/>
      <color theme="0"/>
      <name val="Times New Roman"/>
      <family val="1"/>
    </font>
    <font>
      <sz val="11"/>
      <color theme="0"/>
      <name val="Times New Roman"/>
      <family val="1"/>
    </font>
    <font>
      <b/>
      <sz val="14"/>
      <color indexed="8"/>
      <name val="Times New Roman"/>
      <family val="1"/>
    </font>
    <font>
      <b/>
      <sz val="14"/>
      <color theme="1"/>
      <name val="Times New Roman"/>
      <family val="1"/>
    </font>
    <font>
      <sz val="11"/>
      <color theme="1"/>
      <name val="Times New Roman"/>
      <family val="1"/>
    </font>
    <font>
      <b/>
      <sz val="11"/>
      <color theme="1"/>
      <name val="Times New Roman"/>
      <family val="1"/>
    </font>
    <font>
      <sz val="11"/>
      <name val="Times New Roman"/>
      <family val="1"/>
    </font>
    <font>
      <b/>
      <sz val="11"/>
      <name val="Times New Roman"/>
      <family val="1"/>
    </font>
    <font>
      <b/>
      <sz val="11"/>
      <color indexed="56"/>
      <name val="Times New Roman"/>
      <family val="1"/>
    </font>
    <font>
      <b/>
      <u/>
      <sz val="11"/>
      <name val="Times New Roman"/>
      <family val="1"/>
    </font>
    <font>
      <sz val="11"/>
      <color indexed="17"/>
      <name val="Times New Roman"/>
      <family val="1"/>
    </font>
    <font>
      <b/>
      <u/>
      <sz val="11"/>
      <color indexed="60"/>
      <name val="Times New Roman"/>
      <family val="1"/>
    </font>
    <font>
      <sz val="11"/>
      <color indexed="60"/>
      <name val="Times New Roman"/>
      <family val="1"/>
    </font>
    <font>
      <b/>
      <sz val="11"/>
      <color indexed="60"/>
      <name val="Times New Roman"/>
      <family val="1"/>
    </font>
    <font>
      <b/>
      <sz val="14"/>
      <name val="Times New Roman"/>
      <family val="1"/>
    </font>
    <font>
      <b/>
      <u/>
      <sz val="11"/>
      <color indexed="8"/>
      <name val="Times New Roman"/>
      <family val="1"/>
    </font>
    <font>
      <b/>
      <i/>
      <sz val="11"/>
      <color indexed="8"/>
      <name val="Times New Roman"/>
      <family val="1"/>
    </font>
    <font>
      <b/>
      <sz val="11"/>
      <color rgb="FFFFFFFF"/>
      <name val="Times New Roman"/>
      <family val="1"/>
    </font>
    <font>
      <sz val="11"/>
      <color rgb="FF000000"/>
      <name val="Times New Roman"/>
      <family val="1"/>
    </font>
    <font>
      <b/>
      <sz val="11"/>
      <color rgb="FF000000"/>
      <name val="Times New Roman"/>
      <family val="1"/>
    </font>
    <font>
      <b/>
      <sz val="10"/>
      <color rgb="FFFFFFFF"/>
      <name val="Times New Roman"/>
      <family val="1"/>
    </font>
    <font>
      <sz val="10"/>
      <color rgb="FF000000"/>
      <name val="Times New Roman"/>
      <family val="1"/>
    </font>
    <font>
      <sz val="10"/>
      <color rgb="FF424142"/>
      <name val="Georgia"/>
      <family val="1"/>
    </font>
    <font>
      <b/>
      <sz val="11"/>
      <color rgb="FF272727"/>
      <name val="Garamond"/>
      <family val="1"/>
    </font>
    <font>
      <sz val="8"/>
      <color rgb="FF222222"/>
      <name val="Roboto"/>
    </font>
    <font>
      <b/>
      <sz val="11"/>
      <color rgb="FF222222"/>
      <name val="Garamond"/>
      <family val="1"/>
    </font>
    <font>
      <sz val="9"/>
      <name val="Arial"/>
      <family val="2"/>
    </font>
    <font>
      <b/>
      <sz val="9"/>
      <name val="Arial"/>
      <family val="2"/>
    </font>
    <font>
      <b/>
      <sz val="8"/>
      <name val="Inherit"/>
    </font>
    <font>
      <b/>
      <sz val="8"/>
      <color rgb="FF202124"/>
      <name val="Arial"/>
      <family val="2"/>
    </font>
    <font>
      <b/>
      <sz val="11"/>
      <color rgb="FF202124"/>
      <name val="Garamond"/>
      <family val="1"/>
    </font>
    <font>
      <b/>
      <sz val="11"/>
      <color theme="0"/>
      <name val="Calibri"/>
      <family val="2"/>
      <scheme val="minor"/>
    </font>
    <font>
      <b/>
      <sz val="11"/>
      <color rgb="FF202122"/>
      <name val="Garamond"/>
      <family val="1"/>
    </font>
    <font>
      <b/>
      <sz val="11"/>
      <name val="Garamond"/>
      <family val="1"/>
    </font>
    <font>
      <b/>
      <sz val="11"/>
      <color rgb="FF111111"/>
      <name val="Garamond"/>
      <family val="1"/>
    </font>
    <font>
      <sz val="11"/>
      <color theme="0"/>
      <name val="Calibri"/>
      <family val="2"/>
      <scheme val="minor"/>
    </font>
    <font>
      <b/>
      <sz val="10"/>
      <color rgb="FF000000"/>
      <name val="Times New Roman"/>
      <family val="1"/>
    </font>
    <font>
      <sz val="10"/>
      <color theme="1"/>
      <name val="Calibri"/>
      <family val="2"/>
      <scheme val="minor"/>
    </font>
    <font>
      <b/>
      <sz val="18"/>
      <color theme="1"/>
      <name val="Calibri"/>
      <family val="2"/>
      <scheme val="minor"/>
    </font>
    <font>
      <sz val="12"/>
      <color rgb="FFFF0000"/>
      <name val="Times New Roman"/>
      <family val="1"/>
    </font>
    <font>
      <b/>
      <u/>
      <sz val="18"/>
      <color theme="1"/>
      <name val="Calibri"/>
      <family val="2"/>
      <scheme val="minor"/>
    </font>
    <font>
      <sz val="11"/>
      <color rgb="FFC00000"/>
      <name val="Calibri"/>
      <family val="2"/>
      <scheme val="minor"/>
    </font>
    <font>
      <sz val="11"/>
      <name val="Calibri"/>
      <family val="2"/>
      <scheme val="minor"/>
    </font>
    <font>
      <b/>
      <sz val="11"/>
      <color rgb="FFC00000"/>
      <name val="Calibri"/>
      <family val="2"/>
      <scheme val="minor"/>
    </font>
    <font>
      <b/>
      <sz val="24"/>
      <color theme="1"/>
      <name val="Calibri"/>
      <family val="2"/>
      <scheme val="minor"/>
    </font>
    <font>
      <sz val="11"/>
      <color rgb="FFFF0000"/>
      <name val="Times New Roman"/>
      <family val="1"/>
    </font>
    <font>
      <b/>
      <sz val="11"/>
      <color rgb="FFFF0000"/>
      <name val="Times New Roman"/>
      <family val="1"/>
    </font>
    <font>
      <sz val="10"/>
      <name val="Times New Roman"/>
      <family val="1"/>
    </font>
    <font>
      <sz val="11"/>
      <name val="Arial"/>
      <family val="2"/>
    </font>
    <font>
      <sz val="12"/>
      <name val="Arial"/>
      <family val="2"/>
    </font>
    <font>
      <b/>
      <sz val="10"/>
      <name val="Arial"/>
      <family val="2"/>
    </font>
    <font>
      <b/>
      <sz val="11"/>
      <name val="Arial"/>
      <family val="2"/>
    </font>
    <font>
      <b/>
      <sz val="7"/>
      <color theme="1"/>
      <name val="Times New Roman"/>
      <family val="1"/>
    </font>
    <font>
      <sz val="7"/>
      <color theme="1"/>
      <name val="Times New Roman"/>
      <family val="1"/>
    </font>
    <font>
      <sz val="11"/>
      <color rgb="FFFF0000"/>
      <name val="Calibri"/>
      <family val="2"/>
      <scheme val="minor"/>
    </font>
    <font>
      <b/>
      <sz val="14"/>
      <name val="Century Gothic"/>
      <family val="2"/>
    </font>
    <font>
      <sz val="11"/>
      <name val="Century Gothic"/>
      <family val="2"/>
    </font>
    <font>
      <b/>
      <sz val="16"/>
      <name val="Century Gothic"/>
      <family val="2"/>
    </font>
    <font>
      <b/>
      <sz val="11"/>
      <name val="Century Gothic"/>
      <family val="2"/>
    </font>
    <font>
      <b/>
      <u/>
      <sz val="12"/>
      <color indexed="52"/>
      <name val="Arial"/>
      <family val="2"/>
    </font>
    <font>
      <b/>
      <u/>
      <sz val="12"/>
      <color indexed="12"/>
      <name val="Arial"/>
      <family val="2"/>
    </font>
    <font>
      <b/>
      <sz val="12"/>
      <name val="Arial"/>
      <family val="2"/>
    </font>
    <font>
      <u/>
      <sz val="12"/>
      <color indexed="12"/>
      <name val="Arial"/>
      <family val="2"/>
    </font>
    <font>
      <b/>
      <sz val="12"/>
      <color indexed="62"/>
      <name val="Arial"/>
      <family val="2"/>
    </font>
    <font>
      <b/>
      <sz val="24"/>
      <name val="Arial"/>
      <family val="2"/>
    </font>
    <font>
      <b/>
      <sz val="20"/>
      <name val="Arial"/>
      <family val="2"/>
    </font>
    <font>
      <b/>
      <sz val="22"/>
      <name val="Arial"/>
      <family val="2"/>
    </font>
    <font>
      <b/>
      <sz val="20"/>
      <color theme="1"/>
      <name val="Calibri"/>
      <family val="2"/>
      <scheme val="minor"/>
    </font>
    <font>
      <sz val="11"/>
      <color rgb="FFFF0000"/>
      <name val="Garamond"/>
      <family val="1"/>
    </font>
    <font>
      <sz val="11"/>
      <name val="Garamond"/>
      <family val="1"/>
    </font>
    <font>
      <b/>
      <sz val="14"/>
      <color theme="1"/>
      <name val="Calibri"/>
      <family val="2"/>
      <scheme val="minor"/>
    </font>
    <font>
      <b/>
      <sz val="20"/>
      <color rgb="FFFF0000"/>
      <name val="Calibri"/>
      <family val="2"/>
      <scheme val="minor"/>
    </font>
    <font>
      <b/>
      <sz val="20"/>
      <color theme="0"/>
      <name val="Calibri"/>
      <family val="2"/>
      <scheme val="minor"/>
    </font>
    <font>
      <b/>
      <sz val="16"/>
      <color theme="0"/>
      <name val="Calibri"/>
      <family val="2"/>
      <scheme val="minor"/>
    </font>
    <font>
      <sz val="8"/>
      <color theme="1"/>
      <name val="Calibri"/>
      <family val="2"/>
      <scheme val="minor"/>
    </font>
    <font>
      <sz val="16"/>
      <color theme="1"/>
      <name val="Calibri"/>
      <family val="2"/>
      <scheme val="minor"/>
    </font>
    <font>
      <u/>
      <sz val="28"/>
      <color rgb="FFC00000"/>
      <name val="Arial Unicode MS"/>
      <family val="2"/>
    </font>
    <font>
      <u/>
      <sz val="24"/>
      <color rgb="FFC00000"/>
      <name val="Sakal Marathi"/>
    </font>
    <font>
      <b/>
      <sz val="14"/>
      <color rgb="FF002060"/>
      <name val="Arial Unicode MS"/>
      <family val="2"/>
    </font>
    <font>
      <b/>
      <sz val="14"/>
      <color rgb="FF002060"/>
      <name val="Sakal Marathi"/>
    </font>
    <font>
      <sz val="14"/>
      <color rgb="FF002060"/>
      <name val="Sakal Marathi"/>
    </font>
    <font>
      <b/>
      <sz val="12"/>
      <color rgb="FFC00000"/>
      <name val="Sakal Marathi"/>
    </font>
    <font>
      <b/>
      <sz val="14"/>
      <color theme="1"/>
      <name val="Sakal Marathi"/>
    </font>
    <font>
      <b/>
      <sz val="18"/>
      <color rgb="FF365F91"/>
      <name val="Arial Unicode MS"/>
      <family val="2"/>
    </font>
    <font>
      <b/>
      <sz val="16"/>
      <color rgb="FF365F91"/>
      <name val="Arial Unicode MS"/>
      <family val="2"/>
    </font>
    <font>
      <b/>
      <sz val="14"/>
      <color theme="1"/>
      <name val="Arial Unicode MS"/>
      <family val="2"/>
    </font>
    <font>
      <sz val="11"/>
      <color theme="1"/>
      <name val="Arial Unicode MS"/>
      <family val="2"/>
    </font>
    <font>
      <b/>
      <sz val="12"/>
      <color theme="1"/>
      <name val="Arial Unicode MS"/>
      <family val="2"/>
    </font>
    <font>
      <b/>
      <u/>
      <sz val="11"/>
      <color theme="1"/>
      <name val="Arial Unicode MS"/>
      <family val="2"/>
    </font>
    <font>
      <b/>
      <sz val="9"/>
      <color theme="1"/>
      <name val="Arial Unicode MS"/>
      <family val="2"/>
    </font>
    <font>
      <sz val="9"/>
      <color theme="1"/>
      <name val="Arial Unicode MS"/>
      <family val="2"/>
    </font>
    <font>
      <sz val="9"/>
      <color theme="1"/>
      <name val="Calibri"/>
      <family val="2"/>
      <scheme val="minor"/>
    </font>
    <font>
      <sz val="9"/>
      <color theme="1"/>
      <name val="Times New Roman"/>
      <family val="1"/>
    </font>
    <font>
      <b/>
      <sz val="9"/>
      <color theme="1"/>
      <name val="Calibri"/>
      <family val="2"/>
      <scheme val="minor"/>
    </font>
    <font>
      <b/>
      <i/>
      <vertAlign val="superscript"/>
      <sz val="7"/>
      <color theme="1"/>
      <name val="Calibri"/>
      <family val="2"/>
      <scheme val="minor"/>
    </font>
    <font>
      <i/>
      <sz val="7"/>
      <color theme="1"/>
      <name val="Calibri"/>
      <family val="2"/>
      <scheme val="minor"/>
    </font>
    <font>
      <i/>
      <sz val="7"/>
      <color theme="1"/>
      <name val="Arial Unicode MS"/>
      <family val="2"/>
    </font>
    <font>
      <i/>
      <sz val="7"/>
      <color theme="1"/>
      <name val="Times New Roman"/>
      <family val="1"/>
    </font>
    <font>
      <i/>
      <sz val="7"/>
      <name val="Times New Roman"/>
      <family val="1"/>
    </font>
    <font>
      <b/>
      <sz val="10"/>
      <color theme="1"/>
      <name val="Calibri"/>
      <family val="2"/>
      <scheme val="minor"/>
    </font>
    <font>
      <b/>
      <sz val="24"/>
      <color theme="0"/>
      <name val="Arial"/>
      <family val="2"/>
    </font>
    <font>
      <b/>
      <sz val="22"/>
      <color theme="0"/>
      <name val="Arial"/>
      <family val="2"/>
    </font>
    <font>
      <b/>
      <sz val="72"/>
      <color theme="0"/>
      <name val="Arial"/>
      <family val="2"/>
    </font>
    <font>
      <b/>
      <sz val="48"/>
      <color theme="0"/>
      <name val="Arial"/>
      <family val="2"/>
    </font>
    <font>
      <b/>
      <sz val="40"/>
      <color theme="0"/>
      <name val="Arial"/>
      <family val="2"/>
    </font>
    <font>
      <b/>
      <sz val="65"/>
      <color theme="0"/>
      <name val="Arial"/>
      <family val="2"/>
    </font>
    <font>
      <b/>
      <sz val="8"/>
      <color theme="1"/>
      <name val="Calibri"/>
      <family val="2"/>
      <scheme val="minor"/>
    </font>
    <font>
      <u/>
      <sz val="8"/>
      <color indexed="12"/>
      <name val="Arial"/>
      <family val="2"/>
    </font>
    <font>
      <sz val="10"/>
      <name val="Arial"/>
      <family val="2"/>
    </font>
    <font>
      <b/>
      <u/>
      <sz val="11"/>
      <color theme="1"/>
      <name val="Calibri"/>
      <family val="2"/>
      <scheme val="minor"/>
    </font>
    <font>
      <sz val="20"/>
      <color theme="1"/>
      <name val="Calibri"/>
      <family val="2"/>
      <scheme val="minor"/>
    </font>
    <font>
      <sz val="14"/>
      <color theme="1"/>
      <name val="Calibri"/>
      <family val="2"/>
      <scheme val="minor"/>
    </font>
    <font>
      <b/>
      <sz val="48"/>
      <color theme="1"/>
      <name val="Calibri"/>
      <family val="2"/>
      <scheme val="minor"/>
    </font>
    <font>
      <b/>
      <sz val="28"/>
      <color theme="1"/>
      <name val="Calibri"/>
      <family val="2"/>
      <scheme val="minor"/>
    </font>
    <font>
      <sz val="10"/>
      <color theme="1"/>
      <name val="Times New Roman"/>
      <family val="1"/>
    </font>
  </fonts>
  <fills count="17">
    <fill>
      <patternFill patternType="none"/>
    </fill>
    <fill>
      <patternFill patternType="gray125"/>
    </fill>
    <fill>
      <patternFill patternType="solid">
        <fgColor theme="2" tint="-0.749992370372631"/>
        <bgColor indexed="64"/>
      </patternFill>
    </fill>
    <fill>
      <patternFill patternType="solid">
        <fgColor indexed="15"/>
        <bgColor indexed="64"/>
      </patternFill>
    </fill>
    <fill>
      <patternFill patternType="solid">
        <fgColor theme="0"/>
        <bgColor indexed="64"/>
      </patternFill>
    </fill>
    <fill>
      <patternFill patternType="solid">
        <fgColor rgb="FF333300"/>
        <bgColor indexed="64"/>
      </patternFill>
    </fill>
    <fill>
      <patternFill patternType="solid">
        <fgColor rgb="FFFFFF0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F0000"/>
        <bgColor indexed="64"/>
      </patternFill>
    </fill>
    <fill>
      <patternFill patternType="solid">
        <fgColor theme="1" tint="0.49998474074526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0.149998474074526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13">
    <xf numFmtId="0" fontId="0" fillId="0" borderId="0"/>
    <xf numFmtId="9"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0" fontId="8" fillId="0" borderId="0"/>
    <xf numFmtId="9" fontId="8" fillId="0" borderId="0" applyFont="0" applyFill="0" applyBorder="0" applyAlignment="0" applyProtection="0"/>
    <xf numFmtId="0" fontId="16" fillId="0" borderId="0" applyNumberFormat="0" applyFill="0" applyBorder="0" applyAlignment="0" applyProtection="0">
      <alignment vertical="top"/>
      <protection locked="0"/>
    </xf>
    <xf numFmtId="172" fontId="1" fillId="0" borderId="0" applyFont="0" applyFill="0" applyBorder="0" applyAlignment="0" applyProtection="0"/>
    <xf numFmtId="43" fontId="18" fillId="0" borderId="0" applyFont="0" applyFill="0" applyBorder="0" applyAlignment="0" applyProtection="0"/>
    <xf numFmtId="0" fontId="8" fillId="0" borderId="0"/>
    <xf numFmtId="0" fontId="131" fillId="0" borderId="0"/>
  </cellStyleXfs>
  <cellXfs count="1193">
    <xf numFmtId="0" fontId="0" fillId="0" borderId="0" xfId="0"/>
    <xf numFmtId="2" fontId="0" fillId="0" borderId="0" xfId="0" applyNumberFormat="1"/>
    <xf numFmtId="0" fontId="2" fillId="0" borderId="1" xfId="0" applyFont="1" applyBorder="1"/>
    <xf numFmtId="9" fontId="0" fillId="0" borderId="0" xfId="1" applyFont="1"/>
    <xf numFmtId="9" fontId="0" fillId="0" borderId="0" xfId="0" applyNumberFormat="1"/>
    <xf numFmtId="0" fontId="2" fillId="0" borderId="0" xfId="0" applyFont="1"/>
    <xf numFmtId="10" fontId="0" fillId="0" borderId="0" xfId="0" applyNumberFormat="1"/>
    <xf numFmtId="0" fontId="3" fillId="0" borderId="0" xfId="0" applyFont="1"/>
    <xf numFmtId="0" fontId="4" fillId="0" borderId="0" xfId="0" applyFont="1"/>
    <xf numFmtId="0" fontId="0" fillId="0" borderId="1" xfId="0" applyBorder="1"/>
    <xf numFmtId="0" fontId="7" fillId="0" borderId="0" xfId="0" applyFont="1"/>
    <xf numFmtId="0" fontId="2" fillId="0" borderId="0" xfId="0" applyFont="1" applyAlignment="1">
      <alignment horizontal="center"/>
    </xf>
    <xf numFmtId="0" fontId="0" fillId="0" borderId="0" xfId="0" applyAlignment="1">
      <alignment horizontal="center"/>
    </xf>
    <xf numFmtId="4" fontId="0" fillId="0" borderId="0" xfId="0" applyNumberFormat="1"/>
    <xf numFmtId="166" fontId="0" fillId="0" borderId="0" xfId="0" applyNumberFormat="1"/>
    <xf numFmtId="166" fontId="0" fillId="0" borderId="0" xfId="3" applyFont="1"/>
    <xf numFmtId="167" fontId="13" fillId="0" borderId="1" xfId="3" applyNumberFormat="1" applyFont="1" applyBorder="1" applyAlignment="1">
      <alignment horizontal="right" vertical="center" wrapText="1"/>
    </xf>
    <xf numFmtId="167" fontId="0" fillId="0" borderId="0" xfId="0" applyNumberFormat="1"/>
    <xf numFmtId="0" fontId="11" fillId="2" borderId="1" xfId="0" applyFont="1" applyFill="1" applyBorder="1" applyAlignment="1">
      <alignment vertical="center" wrapText="1"/>
    </xf>
    <xf numFmtId="169" fontId="0" fillId="0" borderId="1" xfId="2" applyNumberFormat="1" applyFont="1" applyBorder="1"/>
    <xf numFmtId="0" fontId="14" fillId="0" borderId="0" xfId="0" applyFont="1"/>
    <xf numFmtId="43" fontId="0" fillId="0" borderId="0" xfId="0" applyNumberFormat="1"/>
    <xf numFmtId="167" fontId="17" fillId="0" borderId="0" xfId="0" applyNumberFormat="1" applyFont="1"/>
    <xf numFmtId="38" fontId="14" fillId="0" borderId="0" xfId="0" applyNumberFormat="1" applyFont="1" applyAlignment="1">
      <alignment horizontal="left"/>
    </xf>
    <xf numFmtId="0" fontId="17" fillId="0" borderId="0" xfId="0" applyFont="1"/>
    <xf numFmtId="0" fontId="19" fillId="0" borderId="0" xfId="8" applyFont="1" applyFill="1" applyBorder="1" applyAlignment="1" applyProtection="1"/>
    <xf numFmtId="0" fontId="18" fillId="0" borderId="11" xfId="0" applyFont="1" applyBorder="1"/>
    <xf numFmtId="174" fontId="14" fillId="0" borderId="0" xfId="9" applyNumberFormat="1" applyFont="1" applyFill="1" applyBorder="1" applyAlignment="1">
      <alignment vertical="center"/>
    </xf>
    <xf numFmtId="167" fontId="17" fillId="0" borderId="0" xfId="3" applyNumberFormat="1" applyFont="1" applyFill="1" applyBorder="1"/>
    <xf numFmtId="0" fontId="14" fillId="0" borderId="11" xfId="0" applyFont="1" applyBorder="1"/>
    <xf numFmtId="0" fontId="6" fillId="0" borderId="1" xfId="0" applyFont="1" applyBorder="1" applyAlignment="1">
      <alignment wrapText="1"/>
    </xf>
    <xf numFmtId="169" fontId="4" fillId="0" borderId="1" xfId="3" applyNumberFormat="1" applyFont="1" applyFill="1" applyBorder="1" applyAlignment="1">
      <alignment wrapText="1"/>
    </xf>
    <xf numFmtId="0" fontId="4" fillId="0" borderId="1" xfId="0" applyFont="1" applyBorder="1" applyAlignment="1">
      <alignment horizontal="left" wrapText="1"/>
    </xf>
    <xf numFmtId="169" fontId="6" fillId="0" borderId="1" xfId="3" applyNumberFormat="1" applyFont="1" applyFill="1" applyBorder="1" applyAlignment="1">
      <alignment wrapText="1"/>
    </xf>
    <xf numFmtId="0" fontId="4" fillId="0" borderId="1" xfId="0" applyFont="1" applyBorder="1" applyAlignment="1">
      <alignment wrapText="1"/>
    </xf>
    <xf numFmtId="0" fontId="4" fillId="0" borderId="1" xfId="0" applyFont="1" applyBorder="1" applyAlignment="1">
      <alignment horizontal="right" wrapText="1"/>
    </xf>
    <xf numFmtId="167" fontId="4" fillId="0" borderId="1" xfId="3" applyNumberFormat="1" applyFont="1" applyFill="1" applyBorder="1" applyAlignment="1">
      <alignment wrapText="1"/>
    </xf>
    <xf numFmtId="0" fontId="4" fillId="0" borderId="1" xfId="0" applyFont="1" applyBorder="1" applyAlignment="1">
      <alignment vertical="center" wrapText="1"/>
    </xf>
    <xf numFmtId="0" fontId="6" fillId="0" borderId="1" xfId="0" applyFont="1" applyBorder="1" applyAlignment="1">
      <alignment horizontal="right" wrapText="1"/>
    </xf>
    <xf numFmtId="169" fontId="6" fillId="0" borderId="1" xfId="0" applyNumberFormat="1" applyFont="1" applyBorder="1" applyAlignment="1">
      <alignment wrapText="1"/>
    </xf>
    <xf numFmtId="169" fontId="4" fillId="0" borderId="1" xfId="0" applyNumberFormat="1" applyFont="1" applyBorder="1" applyAlignment="1">
      <alignment wrapText="1"/>
    </xf>
    <xf numFmtId="0" fontId="6" fillId="0" borderId="1" xfId="0" applyFont="1" applyBorder="1" applyAlignment="1">
      <alignment horizontal="left" wrapText="1"/>
    </xf>
    <xf numFmtId="0" fontId="17" fillId="0" borderId="0" xfId="0" applyFont="1" applyAlignment="1">
      <alignment vertical="center"/>
    </xf>
    <xf numFmtId="0" fontId="14" fillId="0" borderId="0" xfId="0" applyFont="1" applyAlignment="1">
      <alignment vertical="center"/>
    </xf>
    <xf numFmtId="4" fontId="17" fillId="0" borderId="0" xfId="0" applyNumberFormat="1" applyFont="1" applyAlignment="1">
      <alignment vertical="center"/>
    </xf>
    <xf numFmtId="0" fontId="11" fillId="2" borderId="1" xfId="0" applyFont="1" applyFill="1" applyBorder="1" applyAlignment="1">
      <alignment horizontal="center" vertical="center" wrapText="1"/>
    </xf>
    <xf numFmtId="0" fontId="21" fillId="2" borderId="1" xfId="0" applyFont="1" applyFill="1" applyBorder="1" applyAlignment="1">
      <alignment wrapText="1"/>
    </xf>
    <xf numFmtId="0" fontId="21" fillId="2" borderId="1" xfId="0" applyFont="1" applyFill="1" applyBorder="1" applyAlignment="1">
      <alignment horizontal="center" wrapText="1"/>
    </xf>
    <xf numFmtId="169" fontId="0" fillId="0" borderId="15" xfId="2" applyNumberFormat="1" applyFont="1" applyBorder="1"/>
    <xf numFmtId="2" fontId="2" fillId="0" borderId="0" xfId="0" applyNumberFormat="1" applyFont="1"/>
    <xf numFmtId="167" fontId="14" fillId="0" borderId="0" xfId="0" applyNumberFormat="1" applyFont="1"/>
    <xf numFmtId="169" fontId="0" fillId="0" borderId="0" xfId="0" applyNumberFormat="1"/>
    <xf numFmtId="3" fontId="17" fillId="0" borderId="0" xfId="0" applyNumberFormat="1" applyFont="1" applyAlignment="1">
      <alignment vertical="center"/>
    </xf>
    <xf numFmtId="0" fontId="5" fillId="0" borderId="1" xfId="0" applyFont="1" applyBorder="1" applyAlignment="1">
      <alignment horizontal="center"/>
    </xf>
    <xf numFmtId="169" fontId="2" fillId="0" borderId="1" xfId="2" applyNumberFormat="1" applyFont="1" applyBorder="1" applyAlignment="1"/>
    <xf numFmtId="0" fontId="23" fillId="5" borderId="1" xfId="0" applyFont="1" applyFill="1" applyBorder="1" applyAlignment="1">
      <alignment horizontal="center"/>
    </xf>
    <xf numFmtId="169" fontId="4" fillId="0" borderId="1" xfId="2" applyNumberFormat="1" applyFont="1" applyFill="1" applyBorder="1" applyAlignment="1">
      <alignment wrapText="1"/>
    </xf>
    <xf numFmtId="171" fontId="4" fillId="0" borderId="1" xfId="10" applyNumberFormat="1" applyFont="1" applyFill="1" applyBorder="1"/>
    <xf numFmtId="171" fontId="4" fillId="0" borderId="0" xfId="10" applyNumberFormat="1" applyFont="1" applyFill="1"/>
    <xf numFmtId="0" fontId="21" fillId="5" borderId="1" xfId="0" applyFont="1" applyFill="1" applyBorder="1"/>
    <xf numFmtId="0" fontId="21" fillId="5" borderId="1" xfId="0" applyFont="1" applyFill="1" applyBorder="1" applyAlignment="1">
      <alignment horizontal="center"/>
    </xf>
    <xf numFmtId="0" fontId="20" fillId="0" borderId="0" xfId="0" applyFont="1" applyAlignment="1">
      <alignment vertical="center"/>
    </xf>
    <xf numFmtId="0" fontId="24" fillId="5" borderId="1" xfId="0" applyFont="1" applyFill="1" applyBorder="1" applyAlignment="1">
      <alignment horizontal="left"/>
    </xf>
    <xf numFmtId="0" fontId="22" fillId="5" borderId="1" xfId="0" applyFont="1" applyFill="1" applyBorder="1" applyAlignment="1">
      <alignment horizontal="center"/>
    </xf>
    <xf numFmtId="0" fontId="4" fillId="0" borderId="1" xfId="0" applyFont="1" applyBorder="1"/>
    <xf numFmtId="0" fontId="6" fillId="0" borderId="1" xfId="0" applyFont="1" applyBorder="1"/>
    <xf numFmtId="169" fontId="0" fillId="0" borderId="1" xfId="2" applyNumberFormat="1" applyFont="1" applyBorder="1" applyAlignment="1"/>
    <xf numFmtId="2" fontId="2" fillId="0" borderId="1" xfId="0" applyNumberFormat="1" applyFont="1" applyBorder="1"/>
    <xf numFmtId="0" fontId="27" fillId="0" borderId="0" xfId="0" applyFont="1"/>
    <xf numFmtId="0" fontId="27" fillId="0" borderId="1" xfId="0" applyFont="1" applyBorder="1"/>
    <xf numFmtId="169" fontId="27" fillId="0" borderId="1" xfId="2" applyNumberFormat="1" applyFont="1" applyBorder="1"/>
    <xf numFmtId="0" fontId="28" fillId="0" borderId="1" xfId="0" applyFont="1" applyBorder="1"/>
    <xf numFmtId="169" fontId="28" fillId="0" borderId="1" xfId="0" applyNumberFormat="1" applyFont="1" applyBorder="1"/>
    <xf numFmtId="169" fontId="28" fillId="0" borderId="1" xfId="2" applyNumberFormat="1" applyFont="1" applyBorder="1" applyAlignment="1"/>
    <xf numFmtId="2" fontId="28" fillId="0" borderId="1" xfId="0" applyNumberFormat="1" applyFont="1" applyBorder="1"/>
    <xf numFmtId="2" fontId="27" fillId="0" borderId="0" xfId="0" applyNumberFormat="1" applyFont="1"/>
    <xf numFmtId="0" fontId="24" fillId="5" borderId="1" xfId="0" applyFont="1" applyFill="1" applyBorder="1" applyAlignment="1">
      <alignment horizontal="center"/>
    </xf>
    <xf numFmtId="0" fontId="4" fillId="0" borderId="1" xfId="0" applyFont="1" applyBorder="1" applyAlignment="1">
      <alignment horizontal="center"/>
    </xf>
    <xf numFmtId="0" fontId="29" fillId="0" borderId="1" xfId="0" applyFont="1" applyBorder="1" applyAlignment="1">
      <alignment horizontal="center"/>
    </xf>
    <xf numFmtId="169" fontId="4" fillId="0" borderId="1" xfId="2" applyNumberFormat="1" applyFont="1" applyBorder="1" applyAlignment="1">
      <alignment horizontal="center"/>
    </xf>
    <xf numFmtId="0" fontId="0" fillId="0" borderId="1" xfId="0" applyBorder="1" applyAlignment="1">
      <alignment horizontal="center" vertical="center"/>
    </xf>
    <xf numFmtId="0" fontId="27" fillId="0" borderId="1" xfId="0" applyFont="1" applyBorder="1" applyAlignment="1">
      <alignment wrapText="1"/>
    </xf>
    <xf numFmtId="2" fontId="27" fillId="0" borderId="1" xfId="0" applyNumberFormat="1" applyFont="1" applyBorder="1"/>
    <xf numFmtId="164" fontId="27" fillId="0" borderId="0" xfId="0" applyNumberFormat="1" applyFont="1"/>
    <xf numFmtId="169" fontId="27" fillId="0" borderId="0" xfId="2" applyNumberFormat="1" applyFont="1"/>
    <xf numFmtId="0" fontId="24" fillId="5" borderId="1" xfId="0" applyFont="1" applyFill="1" applyBorder="1"/>
    <xf numFmtId="9" fontId="27" fillId="0" borderId="1" xfId="1" applyFont="1" applyBorder="1"/>
    <xf numFmtId="169" fontId="28" fillId="0" borderId="1" xfId="2" applyNumberFormat="1" applyFont="1" applyBorder="1"/>
    <xf numFmtId="0" fontId="28" fillId="0" borderId="0" xfId="0" applyFont="1"/>
    <xf numFmtId="0" fontId="21" fillId="2" borderId="18" xfId="0" applyFont="1" applyFill="1" applyBorder="1" applyAlignment="1">
      <alignment vertical="center"/>
    </xf>
    <xf numFmtId="0" fontId="21" fillId="2" borderId="14" xfId="0" applyFont="1" applyFill="1" applyBorder="1" applyAlignment="1">
      <alignment horizontal="center"/>
    </xf>
    <xf numFmtId="0" fontId="21" fillId="2" borderId="1" xfId="0" applyFont="1" applyFill="1" applyBorder="1" applyAlignment="1">
      <alignment horizontal="center"/>
    </xf>
    <xf numFmtId="0" fontId="29" fillId="0" borderId="5" xfId="0" applyFont="1" applyBorder="1" applyAlignment="1">
      <alignment vertical="center"/>
    </xf>
    <xf numFmtId="37" fontId="30" fillId="0" borderId="1" xfId="3" applyNumberFormat="1" applyFont="1" applyFill="1" applyBorder="1" applyAlignment="1">
      <alignment vertical="center"/>
    </xf>
    <xf numFmtId="3" fontId="31" fillId="0" borderId="1" xfId="9" applyNumberFormat="1" applyFont="1" applyFill="1" applyBorder="1" applyAlignment="1">
      <alignment horizontal="right" vertical="center"/>
    </xf>
    <xf numFmtId="0" fontId="32" fillId="0" borderId="5" xfId="0" applyFont="1" applyBorder="1" applyAlignment="1">
      <alignment vertical="center"/>
    </xf>
    <xf numFmtId="4" fontId="29" fillId="0" borderId="1" xfId="3" applyNumberFormat="1" applyFont="1" applyFill="1" applyBorder="1" applyAlignment="1">
      <alignment vertical="center"/>
    </xf>
    <xf numFmtId="0" fontId="30" fillId="0" borderId="5" xfId="0" applyFont="1" applyBorder="1" applyAlignment="1">
      <alignment horizontal="left" vertical="center"/>
    </xf>
    <xf numFmtId="4" fontId="33" fillId="0" borderId="1" xfId="3" applyNumberFormat="1" applyFont="1" applyFill="1" applyBorder="1" applyAlignment="1">
      <alignment vertical="center"/>
    </xf>
    <xf numFmtId="0" fontId="30" fillId="0" borderId="5" xfId="0" applyFont="1" applyBorder="1" applyAlignment="1">
      <alignment horizontal="left" vertical="center" indent="1"/>
    </xf>
    <xf numFmtId="3" fontId="30" fillId="0" borderId="1" xfId="3" applyNumberFormat="1" applyFont="1" applyFill="1" applyBorder="1" applyAlignment="1">
      <alignment vertical="center"/>
    </xf>
    <xf numFmtId="0" fontId="29" fillId="0" borderId="5" xfId="0" applyFont="1" applyBorder="1" applyAlignment="1">
      <alignment horizontal="left" vertical="center" indent="1"/>
    </xf>
    <xf numFmtId="3" fontId="29" fillId="0" borderId="1" xfId="3" applyNumberFormat="1" applyFont="1" applyFill="1" applyBorder="1" applyAlignment="1">
      <alignment vertical="center"/>
    </xf>
    <xf numFmtId="0" fontId="29" fillId="0" borderId="5" xfId="0" applyFont="1" applyBorder="1" applyAlignment="1">
      <alignment horizontal="left" vertical="center"/>
    </xf>
    <xf numFmtId="0" fontId="30" fillId="0" borderId="5" xfId="0" applyFont="1" applyBorder="1" applyAlignment="1">
      <alignment vertical="center"/>
    </xf>
    <xf numFmtId="3" fontId="30" fillId="0" borderId="1" xfId="9" applyNumberFormat="1" applyFont="1" applyFill="1" applyBorder="1" applyAlignment="1">
      <alignment vertical="center"/>
    </xf>
    <xf numFmtId="3" fontId="29" fillId="0" borderId="1" xfId="9" applyNumberFormat="1" applyFont="1" applyFill="1" applyBorder="1" applyAlignment="1">
      <alignment vertical="center"/>
    </xf>
    <xf numFmtId="3" fontId="33" fillId="0" borderId="1" xfId="3" applyNumberFormat="1" applyFont="1" applyFill="1" applyBorder="1" applyAlignment="1">
      <alignment vertical="center"/>
    </xf>
    <xf numFmtId="3" fontId="31" fillId="0" borderId="1" xfId="3" applyNumberFormat="1" applyFont="1" applyFill="1" applyBorder="1" applyAlignment="1">
      <alignment vertical="center"/>
    </xf>
    <xf numFmtId="3" fontId="29" fillId="0" borderId="1" xfId="0" applyNumberFormat="1" applyFont="1" applyBorder="1" applyAlignment="1">
      <alignment vertical="center"/>
    </xf>
    <xf numFmtId="0" fontId="6" fillId="0" borderId="5" xfId="0" applyFont="1" applyBorder="1" applyAlignment="1">
      <alignment vertical="center"/>
    </xf>
    <xf numFmtId="3" fontId="6" fillId="0" borderId="1" xfId="3" applyNumberFormat="1" applyFont="1" applyFill="1" applyBorder="1" applyAlignment="1">
      <alignment vertical="center"/>
    </xf>
    <xf numFmtId="4" fontId="29" fillId="0" borderId="1" xfId="0" applyNumberFormat="1" applyFont="1" applyBorder="1" applyAlignment="1">
      <alignment vertical="center"/>
    </xf>
    <xf numFmtId="0" fontId="34" fillId="0" borderId="5" xfId="0" applyFont="1" applyBorder="1" applyAlignment="1">
      <alignment vertical="center"/>
    </xf>
    <xf numFmtId="4" fontId="35" fillId="0" borderId="1" xfId="0" applyNumberFormat="1" applyFont="1" applyBorder="1" applyAlignment="1">
      <alignment vertical="center"/>
    </xf>
    <xf numFmtId="0" fontId="36" fillId="0" borderId="5" xfId="0" applyFont="1" applyBorder="1" applyAlignment="1">
      <alignment vertical="center"/>
    </xf>
    <xf numFmtId="4" fontId="36" fillId="0" borderId="1" xfId="9" applyNumberFormat="1" applyFont="1" applyFill="1" applyBorder="1" applyAlignment="1">
      <alignment vertical="center"/>
    </xf>
    <xf numFmtId="0" fontId="36" fillId="0" borderId="6" xfId="0" applyFont="1" applyBorder="1" applyAlignment="1">
      <alignment vertical="center"/>
    </xf>
    <xf numFmtId="4" fontId="36" fillId="0" borderId="7" xfId="0" applyNumberFormat="1" applyFont="1" applyBorder="1" applyAlignment="1">
      <alignment vertical="center"/>
    </xf>
    <xf numFmtId="0" fontId="21" fillId="2" borderId="1" xfId="0" applyFont="1" applyFill="1" applyBorder="1"/>
    <xf numFmtId="0" fontId="15" fillId="0" borderId="0" xfId="6" applyFont="1" applyAlignment="1">
      <alignment horizontal="center"/>
    </xf>
    <xf numFmtId="0" fontId="15" fillId="0" borderId="0" xfId="6" applyFont="1"/>
    <xf numFmtId="173" fontId="29" fillId="0" borderId="1" xfId="9" applyNumberFormat="1" applyFont="1" applyFill="1" applyBorder="1" applyAlignment="1">
      <alignment vertical="center"/>
    </xf>
    <xf numFmtId="173" fontId="30" fillId="0" borderId="1" xfId="9" applyNumberFormat="1" applyFont="1" applyFill="1" applyBorder="1" applyAlignment="1">
      <alignment vertical="center"/>
    </xf>
    <xf numFmtId="0" fontId="21" fillId="5" borderId="1" xfId="0" applyFont="1" applyFill="1" applyBorder="1" applyAlignment="1">
      <alignment vertical="center"/>
    </xf>
    <xf numFmtId="0" fontId="21" fillId="5" borderId="1" xfId="0" applyFont="1" applyFill="1" applyBorder="1" applyAlignment="1">
      <alignment horizontal="center" vertical="center"/>
    </xf>
    <xf numFmtId="167" fontId="24" fillId="5" borderId="1" xfId="3" applyNumberFormat="1" applyFont="1" applyFill="1" applyBorder="1" applyAlignment="1">
      <alignment horizontal="center"/>
    </xf>
    <xf numFmtId="0" fontId="30" fillId="0" borderId="1" xfId="0" applyFont="1" applyBorder="1" applyAlignment="1">
      <alignment vertical="center"/>
    </xf>
    <xf numFmtId="0" fontId="30" fillId="0" borderId="1" xfId="0" applyFont="1" applyBorder="1" applyAlignment="1">
      <alignment horizontal="center" vertical="center"/>
    </xf>
    <xf numFmtId="167" fontId="29" fillId="0" borderId="1" xfId="3" applyNumberFormat="1" applyFont="1" applyFill="1" applyBorder="1"/>
    <xf numFmtId="0" fontId="30" fillId="0" borderId="1" xfId="0" applyFont="1" applyBorder="1"/>
    <xf numFmtId="0" fontId="29" fillId="0" borderId="1" xfId="0" applyFont="1" applyBorder="1"/>
    <xf numFmtId="167" fontId="30" fillId="0" borderId="1" xfId="0" applyNumberFormat="1" applyFont="1" applyBorder="1"/>
    <xf numFmtId="0" fontId="6" fillId="2" borderId="1" xfId="0" applyFont="1" applyFill="1" applyBorder="1"/>
    <xf numFmtId="0" fontId="38" fillId="0" borderId="1" xfId="0" applyFont="1" applyBorder="1"/>
    <xf numFmtId="0" fontId="39" fillId="0" borderId="1" xfId="0" applyFont="1" applyBorder="1" applyAlignment="1">
      <alignment horizontal="center"/>
    </xf>
    <xf numFmtId="0" fontId="27" fillId="0" borderId="1" xfId="0" applyFont="1" applyBorder="1" applyAlignment="1">
      <alignment horizontal="left"/>
    </xf>
    <xf numFmtId="0" fontId="6" fillId="0" borderId="1" xfId="0" applyFont="1" applyBorder="1" applyAlignment="1">
      <alignment horizontal="left"/>
    </xf>
    <xf numFmtId="167" fontId="29" fillId="0" borderId="1" xfId="0" applyNumberFormat="1" applyFont="1" applyBorder="1"/>
    <xf numFmtId="0" fontId="21" fillId="2" borderId="1" xfId="8" applyFont="1" applyFill="1" applyBorder="1" applyAlignment="1" applyProtection="1"/>
    <xf numFmtId="0" fontId="27" fillId="0" borderId="0" xfId="0" applyFont="1" applyAlignment="1">
      <alignment horizontal="left"/>
    </xf>
    <xf numFmtId="167" fontId="29" fillId="0" borderId="0" xfId="0" applyNumberFormat="1" applyFont="1"/>
    <xf numFmtId="0" fontId="6" fillId="3" borderId="0" xfId="0" applyFont="1" applyFill="1" applyAlignment="1">
      <alignment horizontal="left" wrapText="1"/>
    </xf>
    <xf numFmtId="0" fontId="6" fillId="0" borderId="0" xfId="0" applyFont="1" applyAlignment="1">
      <alignment horizontal="center"/>
    </xf>
    <xf numFmtId="0" fontId="6" fillId="0" borderId="0" xfId="0" applyFont="1"/>
    <xf numFmtId="0" fontId="6" fillId="0" borderId="0" xfId="0" applyFont="1" applyAlignment="1">
      <alignment wrapText="1"/>
    </xf>
    <xf numFmtId="10" fontId="27" fillId="0" borderId="0" xfId="0" applyNumberFormat="1" applyFont="1"/>
    <xf numFmtId="0" fontId="27" fillId="0" borderId="0" xfId="0" applyFont="1" applyAlignment="1">
      <alignment wrapText="1"/>
    </xf>
    <xf numFmtId="9" fontId="27" fillId="0" borderId="0" xfId="0" applyNumberFormat="1" applyFont="1"/>
    <xf numFmtId="10" fontId="4" fillId="0" borderId="0" xfId="1" applyNumberFormat="1" applyFont="1" applyBorder="1"/>
    <xf numFmtId="9" fontId="27" fillId="0" borderId="0" xfId="1" applyFont="1"/>
    <xf numFmtId="166" fontId="27" fillId="0" borderId="0" xfId="0" applyNumberFormat="1" applyFont="1"/>
    <xf numFmtId="43" fontId="27" fillId="0" borderId="0" xfId="0" applyNumberFormat="1" applyFont="1"/>
    <xf numFmtId="1" fontId="27" fillId="0" borderId="0" xfId="0" applyNumberFormat="1" applyFont="1"/>
    <xf numFmtId="9" fontId="27" fillId="0" borderId="1" xfId="0" applyNumberFormat="1" applyFont="1" applyBorder="1"/>
    <xf numFmtId="43" fontId="27" fillId="0" borderId="1" xfId="0" applyNumberFormat="1" applyFont="1" applyBorder="1"/>
    <xf numFmtId="0" fontId="28" fillId="0" borderId="0" xfId="0" applyFont="1" applyAlignment="1">
      <alignment horizontal="center"/>
    </xf>
    <xf numFmtId="9" fontId="28" fillId="0" borderId="0" xfId="0" applyNumberFormat="1" applyFont="1" applyAlignment="1">
      <alignment horizontal="center"/>
    </xf>
    <xf numFmtId="10" fontId="28" fillId="0" borderId="0" xfId="0" applyNumberFormat="1" applyFont="1" applyAlignment="1">
      <alignment horizontal="center"/>
    </xf>
    <xf numFmtId="169" fontId="27" fillId="0" borderId="1" xfId="2" applyNumberFormat="1" applyFont="1" applyFill="1" applyBorder="1"/>
    <xf numFmtId="0" fontId="28" fillId="0" borderId="1" xfId="0" applyFont="1" applyBorder="1" applyAlignment="1">
      <alignment wrapText="1"/>
    </xf>
    <xf numFmtId="167" fontId="27" fillId="0" borderId="1" xfId="0" applyNumberFormat="1" applyFont="1" applyBorder="1"/>
    <xf numFmtId="167" fontId="28" fillId="0" borderId="1" xfId="3" applyNumberFormat="1" applyFont="1" applyBorder="1"/>
    <xf numFmtId="167" fontId="28" fillId="0" borderId="1" xfId="0" applyNumberFormat="1" applyFont="1" applyBorder="1"/>
    <xf numFmtId="169" fontId="27" fillId="0" borderId="1" xfId="0" applyNumberFormat="1" applyFont="1" applyBorder="1"/>
    <xf numFmtId="167" fontId="27" fillId="0" borderId="1" xfId="3" applyNumberFormat="1" applyFont="1" applyFill="1" applyBorder="1"/>
    <xf numFmtId="167" fontId="27" fillId="0" borderId="0" xfId="0" applyNumberFormat="1" applyFont="1"/>
    <xf numFmtId="169" fontId="27" fillId="0" borderId="16" xfId="2" applyNumberFormat="1" applyFont="1" applyBorder="1"/>
    <xf numFmtId="169" fontId="28" fillId="0" borderId="1" xfId="2" applyNumberFormat="1" applyFont="1" applyBorder="1" applyAlignment="1">
      <alignment wrapText="1"/>
    </xf>
    <xf numFmtId="0" fontId="26" fillId="0" borderId="0" xfId="0" applyFont="1"/>
    <xf numFmtId="165" fontId="27" fillId="0" borderId="0" xfId="0" applyNumberFormat="1" applyFont="1"/>
    <xf numFmtId="0" fontId="21" fillId="2" borderId="1" xfId="0" applyFont="1" applyFill="1" applyBorder="1" applyAlignment="1">
      <alignment horizontal="right"/>
    </xf>
    <xf numFmtId="2" fontId="21" fillId="2" borderId="1" xfId="0" applyNumberFormat="1" applyFont="1" applyFill="1" applyBorder="1" applyAlignment="1">
      <alignment horizontal="right"/>
    </xf>
    <xf numFmtId="0" fontId="40" fillId="2" borderId="1" xfId="0" applyFont="1" applyFill="1" applyBorder="1" applyAlignment="1">
      <alignment vertical="center" wrapText="1"/>
    </xf>
    <xf numFmtId="0" fontId="40" fillId="2" borderId="1" xfId="0" applyFont="1" applyFill="1" applyBorder="1" applyAlignment="1">
      <alignment horizontal="center" vertical="center" wrapText="1"/>
    </xf>
    <xf numFmtId="0" fontId="41" fillId="0" borderId="1" xfId="0" applyFont="1" applyBorder="1" applyAlignment="1">
      <alignment horizontal="right" vertical="center" wrapText="1"/>
    </xf>
    <xf numFmtId="167" fontId="42" fillId="0" borderId="1" xfId="3" applyNumberFormat="1" applyFont="1" applyBorder="1" applyAlignment="1">
      <alignment horizontal="right" vertical="center" wrapText="1"/>
    </xf>
    <xf numFmtId="0" fontId="30" fillId="0" borderId="1" xfId="0" applyFont="1" applyBorder="1" applyAlignment="1">
      <alignment horizontal="center" vertical="center" wrapText="1"/>
    </xf>
    <xf numFmtId="0" fontId="30" fillId="0" borderId="1" xfId="0" applyFont="1" applyBorder="1" applyAlignment="1">
      <alignment horizontal="left" vertical="center" wrapText="1"/>
    </xf>
    <xf numFmtId="169" fontId="29" fillId="0" borderId="1" xfId="2" applyNumberFormat="1" applyFont="1" applyFill="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vertical="center" wrapText="1"/>
    </xf>
    <xf numFmtId="169" fontId="41" fillId="0" borderId="1" xfId="2" applyNumberFormat="1" applyFont="1" applyFill="1" applyBorder="1" applyAlignment="1">
      <alignment horizontal="right" vertical="center" wrapText="1"/>
    </xf>
    <xf numFmtId="0" fontId="41" fillId="0" borderId="1" xfId="0" applyFont="1" applyBorder="1" applyAlignment="1">
      <alignment vertical="center" wrapText="1"/>
    </xf>
    <xf numFmtId="169" fontId="42" fillId="0" borderId="1" xfId="2" applyNumberFormat="1" applyFont="1" applyFill="1" applyBorder="1" applyAlignment="1">
      <alignment horizontal="right" vertical="center" wrapText="1"/>
    </xf>
    <xf numFmtId="167" fontId="42" fillId="0" borderId="1" xfId="3" applyNumberFormat="1" applyFont="1" applyFill="1" applyBorder="1" applyAlignment="1">
      <alignment horizontal="right" vertical="center" wrapText="1"/>
    </xf>
    <xf numFmtId="0" fontId="27" fillId="6" borderId="0" xfId="0" applyFont="1" applyFill="1"/>
    <xf numFmtId="0" fontId="29" fillId="6" borderId="0" xfId="0" applyFont="1" applyFill="1"/>
    <xf numFmtId="0" fontId="30" fillId="6" borderId="1" xfId="0" applyFont="1" applyFill="1" applyBorder="1"/>
    <xf numFmtId="0" fontId="29" fillId="6" borderId="1" xfId="0" applyFont="1" applyFill="1" applyBorder="1"/>
    <xf numFmtId="2" fontId="29" fillId="6" borderId="1" xfId="0" applyNumberFormat="1" applyFont="1" applyFill="1" applyBorder="1"/>
    <xf numFmtId="175" fontId="29" fillId="6" borderId="1" xfId="0" applyNumberFormat="1" applyFont="1" applyFill="1" applyBorder="1"/>
    <xf numFmtId="2" fontId="30" fillId="6" borderId="1" xfId="0" applyNumberFormat="1" applyFont="1" applyFill="1" applyBorder="1"/>
    <xf numFmtId="169" fontId="28" fillId="6" borderId="1" xfId="2" applyNumberFormat="1" applyFont="1" applyFill="1" applyBorder="1"/>
    <xf numFmtId="166" fontId="27" fillId="6" borderId="0" xfId="0" applyNumberFormat="1" applyFont="1" applyFill="1"/>
    <xf numFmtId="174" fontId="27" fillId="0" borderId="0" xfId="0" applyNumberFormat="1" applyFont="1"/>
    <xf numFmtId="169" fontId="0" fillId="0" borderId="1" xfId="0" applyNumberFormat="1" applyBorder="1"/>
    <xf numFmtId="10" fontId="4" fillId="0" borderId="1" xfId="0" applyNumberFormat="1" applyFont="1" applyBorder="1"/>
    <xf numFmtId="0" fontId="4" fillId="0" borderId="1" xfId="0" quotePrefix="1" applyFont="1" applyBorder="1" applyAlignment="1">
      <alignment horizontal="left"/>
    </xf>
    <xf numFmtId="169" fontId="28" fillId="0" borderId="0" xfId="2" applyNumberFormat="1" applyFont="1" applyBorder="1"/>
    <xf numFmtId="0" fontId="41" fillId="0" borderId="1" xfId="0" applyFont="1" applyBorder="1" applyAlignment="1">
      <alignment horizontal="center" vertical="center" wrapText="1"/>
    </xf>
    <xf numFmtId="9" fontId="2" fillId="7" borderId="0" xfId="0" applyNumberFormat="1" applyFont="1" applyFill="1"/>
    <xf numFmtId="9" fontId="27" fillId="7" borderId="0" xfId="0" applyNumberFormat="1" applyFont="1" applyFill="1"/>
    <xf numFmtId="0" fontId="27" fillId="7" borderId="0" xfId="0" applyFont="1" applyFill="1"/>
    <xf numFmtId="9" fontId="27" fillId="7" borderId="1" xfId="0" applyNumberFormat="1" applyFont="1" applyFill="1" applyBorder="1"/>
    <xf numFmtId="167" fontId="28" fillId="7" borderId="1" xfId="3" applyNumberFormat="1" applyFont="1" applyFill="1" applyBorder="1"/>
    <xf numFmtId="9" fontId="14" fillId="7" borderId="0" xfId="1" applyFont="1" applyFill="1" applyBorder="1"/>
    <xf numFmtId="0" fontId="0" fillId="6" borderId="1" xfId="0" applyFill="1" applyBorder="1"/>
    <xf numFmtId="0" fontId="0" fillId="7" borderId="1" xfId="0" applyFill="1" applyBorder="1"/>
    <xf numFmtId="0" fontId="45" fillId="0" borderId="0" xfId="0" applyFont="1"/>
    <xf numFmtId="0" fontId="0" fillId="0" borderId="0" xfId="0" applyAlignment="1">
      <alignment wrapText="1"/>
    </xf>
    <xf numFmtId="0" fontId="54" fillId="5" borderId="1" xfId="0" applyFont="1" applyFill="1" applyBorder="1"/>
    <xf numFmtId="0" fontId="54" fillId="5" borderId="1" xfId="0" applyFont="1" applyFill="1" applyBorder="1" applyAlignment="1">
      <alignment wrapText="1"/>
    </xf>
    <xf numFmtId="0" fontId="0" fillId="0" borderId="1" xfId="0" applyBorder="1" applyAlignment="1">
      <alignment horizontal="center"/>
    </xf>
    <xf numFmtId="0" fontId="54" fillId="5" borderId="2" xfId="0" applyFont="1" applyFill="1" applyBorder="1" applyAlignment="1">
      <alignment wrapText="1"/>
    </xf>
    <xf numFmtId="167" fontId="27" fillId="0" borderId="1" xfId="1" applyNumberFormat="1" applyFont="1" applyBorder="1"/>
    <xf numFmtId="9" fontId="28" fillId="7" borderId="1" xfId="1" applyFont="1" applyFill="1" applyBorder="1"/>
    <xf numFmtId="9" fontId="0" fillId="6" borderId="1" xfId="1" applyFont="1" applyFill="1" applyBorder="1"/>
    <xf numFmtId="9" fontId="0" fillId="7" borderId="1" xfId="0" applyNumberFormat="1" applyFill="1" applyBorder="1"/>
    <xf numFmtId="0" fontId="2" fillId="0" borderId="11" xfId="0" applyFont="1" applyBorder="1" applyAlignment="1">
      <alignment wrapText="1"/>
    </xf>
    <xf numFmtId="170" fontId="0" fillId="0" borderId="0" xfId="0" applyNumberFormat="1"/>
    <xf numFmtId="169" fontId="27" fillId="0" borderId="0" xfId="2" applyNumberFormat="1" applyFont="1" applyBorder="1"/>
    <xf numFmtId="0" fontId="54" fillId="5" borderId="1" xfId="0" applyFont="1" applyFill="1" applyBorder="1" applyAlignment="1">
      <alignment horizontal="center"/>
    </xf>
    <xf numFmtId="0" fontId="54" fillId="0" borderId="0" xfId="0" applyFont="1" applyAlignment="1">
      <alignment horizontal="center"/>
    </xf>
    <xf numFmtId="1" fontId="0" fillId="0" borderId="0" xfId="0" applyNumberFormat="1"/>
    <xf numFmtId="169" fontId="2" fillId="0" borderId="0" xfId="2" applyNumberFormat="1" applyFont="1" applyFill="1" applyBorder="1"/>
    <xf numFmtId="1" fontId="27" fillId="0" borderId="1" xfId="0" applyNumberFormat="1" applyFont="1" applyBorder="1"/>
    <xf numFmtId="0" fontId="0" fillId="0" borderId="14" xfId="0" applyBorder="1" applyAlignment="1">
      <alignment horizontal="center" vertical="center"/>
    </xf>
    <xf numFmtId="9" fontId="54" fillId="7" borderId="1" xfId="0" applyNumberFormat="1" applyFont="1" applyFill="1" applyBorder="1"/>
    <xf numFmtId="9" fontId="54" fillId="7" borderId="1" xfId="0" applyNumberFormat="1" applyFont="1" applyFill="1" applyBorder="1" applyAlignment="1">
      <alignment horizontal="center"/>
    </xf>
    <xf numFmtId="9" fontId="0" fillId="0" borderId="1" xfId="0" applyNumberFormat="1" applyBorder="1"/>
    <xf numFmtId="0" fontId="27" fillId="7" borderId="1" xfId="0" applyFont="1" applyFill="1" applyBorder="1"/>
    <xf numFmtId="9" fontId="0" fillId="6" borderId="1" xfId="0" applyNumberFormat="1" applyFill="1" applyBorder="1"/>
    <xf numFmtId="0" fontId="0" fillId="6" borderId="1" xfId="1" applyNumberFormat="1" applyFont="1" applyFill="1" applyBorder="1"/>
    <xf numFmtId="0" fontId="0" fillId="0" borderId="1" xfId="1" applyNumberFormat="1" applyFont="1" applyFill="1" applyBorder="1"/>
    <xf numFmtId="0" fontId="0" fillId="0" borderId="20" xfId="0" applyBorder="1" applyAlignment="1">
      <alignment vertical="center" wrapText="1"/>
    </xf>
    <xf numFmtId="0" fontId="0" fillId="0" borderId="2" xfId="0" applyBorder="1" applyAlignment="1">
      <alignment vertical="center" wrapText="1"/>
    </xf>
    <xf numFmtId="0" fontId="0" fillId="0" borderId="14" xfId="0" applyBorder="1" applyAlignment="1">
      <alignment vertical="center" wrapText="1"/>
    </xf>
    <xf numFmtId="0" fontId="2" fillId="0" borderId="14" xfId="0" applyFont="1" applyBorder="1" applyAlignment="1">
      <alignment horizontal="center" vertical="center"/>
    </xf>
    <xf numFmtId="0" fontId="2" fillId="6" borderId="1" xfId="0" applyFont="1" applyFill="1" applyBorder="1"/>
    <xf numFmtId="0" fontId="28" fillId="0" borderId="1" xfId="0" applyFont="1" applyBorder="1" applyAlignment="1">
      <alignment horizontal="left"/>
    </xf>
    <xf numFmtId="169" fontId="4" fillId="0" borderId="1" xfId="2" applyNumberFormat="1" applyFont="1" applyFill="1" applyBorder="1"/>
    <xf numFmtId="171" fontId="6" fillId="0" borderId="1" xfId="10" applyNumberFormat="1" applyFont="1" applyFill="1" applyBorder="1"/>
    <xf numFmtId="169" fontId="6" fillId="0" borderId="1" xfId="2" applyNumberFormat="1" applyFont="1" applyFill="1" applyBorder="1"/>
    <xf numFmtId="3" fontId="27" fillId="0" borderId="1" xfId="0" applyNumberFormat="1" applyFont="1" applyBorder="1"/>
    <xf numFmtId="0" fontId="52" fillId="0" borderId="0" xfId="0" applyFont="1"/>
    <xf numFmtId="0" fontId="30" fillId="5" borderId="1" xfId="0" applyFont="1" applyFill="1" applyBorder="1"/>
    <xf numFmtId="9" fontId="58" fillId="7" borderId="1" xfId="0" applyNumberFormat="1" applyFont="1" applyFill="1" applyBorder="1"/>
    <xf numFmtId="170" fontId="58" fillId="7" borderId="1" xfId="0" applyNumberFormat="1" applyFont="1" applyFill="1" applyBorder="1"/>
    <xf numFmtId="0" fontId="57" fillId="0" borderId="0" xfId="0" applyFont="1"/>
    <xf numFmtId="0" fontId="43" fillId="2" borderId="1" xfId="0" applyFont="1" applyFill="1" applyBorder="1" applyAlignment="1">
      <alignment vertical="center" wrapText="1"/>
    </xf>
    <xf numFmtId="0" fontId="43" fillId="2" borderId="1" xfId="0" applyFont="1" applyFill="1" applyBorder="1" applyAlignment="1">
      <alignment horizontal="center" vertical="center" wrapText="1"/>
    </xf>
    <xf numFmtId="0" fontId="44" fillId="0" borderId="1" xfId="0" applyFont="1" applyBorder="1" applyAlignment="1">
      <alignment horizontal="right" vertical="center" wrapText="1"/>
    </xf>
    <xf numFmtId="0" fontId="44" fillId="0" borderId="1" xfId="0" applyFont="1" applyBorder="1" applyAlignment="1">
      <alignment vertical="center" wrapText="1"/>
    </xf>
    <xf numFmtId="167" fontId="44" fillId="0" borderId="1" xfId="3" applyNumberFormat="1" applyFont="1" applyFill="1" applyBorder="1" applyAlignment="1">
      <alignment horizontal="right" vertical="center" wrapText="1"/>
    </xf>
    <xf numFmtId="167" fontId="59" fillId="0" borderId="1" xfId="3" applyNumberFormat="1" applyFont="1" applyBorder="1" applyAlignment="1">
      <alignment horizontal="right" vertical="center" wrapText="1"/>
    </xf>
    <xf numFmtId="0" fontId="43" fillId="2" borderId="22" xfId="0" applyFont="1" applyFill="1" applyBorder="1" applyAlignment="1">
      <alignment horizontal="center" vertical="center" wrapText="1"/>
    </xf>
    <xf numFmtId="169" fontId="44" fillId="0" borderId="1" xfId="2" applyNumberFormat="1" applyFont="1" applyBorder="1" applyAlignment="1">
      <alignment vertical="center" wrapText="1"/>
    </xf>
    <xf numFmtId="9" fontId="60" fillId="7" borderId="1" xfId="0" applyNumberFormat="1" applyFont="1" applyFill="1" applyBorder="1"/>
    <xf numFmtId="169" fontId="60" fillId="0" borderId="1" xfId="0" applyNumberFormat="1" applyFont="1" applyBorder="1"/>
    <xf numFmtId="0" fontId="60" fillId="0" borderId="1" xfId="0" applyFont="1" applyBorder="1"/>
    <xf numFmtId="169" fontId="59" fillId="0" borderId="1" xfId="2" applyNumberFormat="1" applyFont="1" applyBorder="1" applyAlignment="1">
      <alignment horizontal="center" vertical="center" wrapText="1"/>
    </xf>
    <xf numFmtId="0" fontId="43" fillId="5" borderId="1" xfId="0" applyFont="1" applyFill="1" applyBorder="1" applyAlignment="1">
      <alignment vertical="center" wrapText="1"/>
    </xf>
    <xf numFmtId="0" fontId="43" fillId="5" borderId="1" xfId="0" applyFont="1" applyFill="1" applyBorder="1" applyAlignment="1">
      <alignment vertical="center"/>
    </xf>
    <xf numFmtId="0" fontId="43" fillId="5" borderId="1" xfId="0" applyFont="1" applyFill="1" applyBorder="1" applyAlignment="1">
      <alignment horizontal="center" vertical="center"/>
    </xf>
    <xf numFmtId="0" fontId="43" fillId="5" borderId="1" xfId="0" applyFont="1" applyFill="1" applyBorder="1" applyAlignment="1">
      <alignment horizontal="center" vertical="center" wrapText="1"/>
    </xf>
    <xf numFmtId="0" fontId="44" fillId="0" borderId="1" xfId="0"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44" fillId="0" borderId="1" xfId="0" applyFont="1" applyBorder="1" applyAlignment="1">
      <alignment horizontal="left" vertical="center" wrapText="1"/>
    </xf>
    <xf numFmtId="0" fontId="29" fillId="0" borderId="1" xfId="0" applyFont="1" applyBorder="1" applyAlignment="1">
      <alignment horizontal="left" vertical="center" wrapText="1"/>
    </xf>
    <xf numFmtId="0" fontId="29" fillId="0" borderId="1" xfId="0" applyFont="1" applyBorder="1" applyAlignment="1">
      <alignment horizontal="center" vertical="center" wrapText="1"/>
    </xf>
    <xf numFmtId="166" fontId="29" fillId="0" borderId="1" xfId="3" applyFont="1" applyFill="1" applyBorder="1" applyAlignment="1">
      <alignment horizontal="right" vertical="center" wrapText="1"/>
    </xf>
    <xf numFmtId="0" fontId="0" fillId="0" borderId="0" xfId="0" applyAlignment="1">
      <alignment vertical="center" wrapText="1"/>
    </xf>
    <xf numFmtId="0" fontId="2" fillId="0" borderId="1" xfId="0" applyFont="1" applyBorder="1" applyAlignment="1">
      <alignment vertical="center" wrapText="1"/>
    </xf>
    <xf numFmtId="0" fontId="0" fillId="0" borderId="1" xfId="0" applyBorder="1" applyAlignment="1">
      <alignment vertical="center" wrapText="1"/>
    </xf>
    <xf numFmtId="0" fontId="0" fillId="6" borderId="16" xfId="0" applyFill="1" applyBorder="1" applyAlignment="1">
      <alignment vertical="center" wrapText="1"/>
    </xf>
    <xf numFmtId="0" fontId="0" fillId="7" borderId="16" xfId="0" applyFill="1" applyBorder="1" applyAlignment="1">
      <alignment vertical="center" wrapText="1"/>
    </xf>
    <xf numFmtId="0" fontId="62" fillId="5" borderId="11" xfId="0" applyFont="1" applyFill="1" applyBorder="1" applyAlignment="1">
      <alignment horizontal="center"/>
    </xf>
    <xf numFmtId="9" fontId="44" fillId="7" borderId="1" xfId="3" applyNumberFormat="1" applyFont="1" applyFill="1" applyBorder="1" applyAlignment="1">
      <alignment horizontal="right" vertical="center" wrapText="1"/>
    </xf>
    <xf numFmtId="0" fontId="2" fillId="11" borderId="1" xfId="0" applyFont="1" applyFill="1" applyBorder="1" applyAlignment="1">
      <alignment vertical="center" wrapText="1"/>
    </xf>
    <xf numFmtId="0" fontId="66" fillId="0" borderId="1" xfId="0" applyFont="1" applyBorder="1" applyAlignment="1">
      <alignment vertical="center" wrapText="1"/>
    </xf>
    <xf numFmtId="0" fontId="2" fillId="11" borderId="2" xfId="0" applyFont="1" applyFill="1" applyBorder="1" applyAlignment="1">
      <alignment vertical="center" wrapText="1"/>
    </xf>
    <xf numFmtId="0" fontId="0" fillId="0" borderId="1" xfId="0" applyBorder="1" applyAlignment="1">
      <alignment horizontal="center" vertical="center" wrapText="1"/>
    </xf>
    <xf numFmtId="9" fontId="44" fillId="0" borderId="1" xfId="3" applyNumberFormat="1" applyFont="1" applyFill="1" applyBorder="1" applyAlignment="1">
      <alignment horizontal="right" vertical="center" wrapText="1"/>
    </xf>
    <xf numFmtId="10" fontId="69" fillId="0" borderId="0" xfId="1" applyNumberFormat="1" applyFont="1"/>
    <xf numFmtId="0" fontId="68" fillId="0" borderId="1" xfId="0" applyFont="1" applyBorder="1"/>
    <xf numFmtId="164" fontId="0" fillId="0" borderId="0" xfId="0" applyNumberFormat="1"/>
    <xf numFmtId="0" fontId="0" fillId="6" borderId="0" xfId="0" applyFill="1"/>
    <xf numFmtId="0" fontId="0" fillId="0" borderId="0" xfId="0" applyAlignment="1">
      <alignment horizontal="center" vertical="center" wrapText="1"/>
    </xf>
    <xf numFmtId="0" fontId="0" fillId="0" borderId="0" xfId="0" applyAlignment="1">
      <alignment horizontal="center" vertical="center"/>
    </xf>
    <xf numFmtId="169" fontId="27" fillId="0" borderId="0" xfId="0" applyNumberFormat="1" applyFont="1"/>
    <xf numFmtId="164" fontId="27" fillId="0" borderId="1" xfId="2" applyFont="1" applyBorder="1"/>
    <xf numFmtId="169" fontId="27" fillId="0" borderId="2" xfId="2" applyNumberFormat="1" applyFont="1" applyFill="1" applyBorder="1"/>
    <xf numFmtId="169" fontId="27" fillId="0" borderId="1" xfId="0" applyNumberFormat="1" applyFont="1" applyBorder="1" applyAlignment="1">
      <alignment wrapText="1"/>
    </xf>
    <xf numFmtId="169" fontId="28" fillId="0" borderId="1" xfId="0" applyNumberFormat="1" applyFont="1" applyBorder="1" applyAlignment="1">
      <alignment wrapText="1"/>
    </xf>
    <xf numFmtId="169" fontId="28" fillId="0" borderId="0" xfId="0" applyNumberFormat="1" applyFont="1"/>
    <xf numFmtId="169" fontId="2" fillId="0" borderId="0" xfId="0" applyNumberFormat="1" applyFont="1" applyAlignment="1">
      <alignment horizontal="center"/>
    </xf>
    <xf numFmtId="169" fontId="28" fillId="0" borderId="0" xfId="0" applyNumberFormat="1" applyFont="1" applyAlignment="1">
      <alignment horizontal="center"/>
    </xf>
    <xf numFmtId="169" fontId="27" fillId="0" borderId="0" xfId="1" applyNumberFormat="1" applyFont="1"/>
    <xf numFmtId="3" fontId="70" fillId="0" borderId="1" xfId="0" applyNumberFormat="1" applyFont="1" applyBorder="1" applyAlignment="1">
      <alignment horizontal="center" vertical="center" wrapText="1"/>
    </xf>
    <xf numFmtId="9" fontId="70" fillId="0" borderId="1" xfId="1" applyFont="1" applyBorder="1" applyAlignment="1">
      <alignment horizontal="center" vertical="center" wrapText="1"/>
    </xf>
    <xf numFmtId="9" fontId="70" fillId="0" borderId="1" xfId="0" applyNumberFormat="1" applyFont="1" applyBorder="1" applyAlignment="1">
      <alignment horizontal="center" vertical="center" wrapText="1"/>
    </xf>
    <xf numFmtId="175" fontId="44" fillId="0" borderId="1" xfId="0" applyNumberFormat="1" applyFont="1" applyBorder="1" applyAlignment="1">
      <alignment horizontal="center" vertical="center" wrapText="1"/>
    </xf>
    <xf numFmtId="0" fontId="0" fillId="0" borderId="0" xfId="0" applyAlignment="1">
      <alignment vertical="center"/>
    </xf>
    <xf numFmtId="0" fontId="0" fillId="0" borderId="0" xfId="0" applyAlignment="1">
      <alignment horizontal="justify" wrapText="1"/>
    </xf>
    <xf numFmtId="0" fontId="59" fillId="0" borderId="1" xfId="0" applyFont="1" applyBorder="1" applyAlignment="1">
      <alignment horizontal="center" vertical="center" wrapText="1"/>
    </xf>
    <xf numFmtId="0" fontId="77" fillId="0" borderId="0" xfId="0" applyFont="1"/>
    <xf numFmtId="0" fontId="78" fillId="0" borderId="0" xfId="11" applyFont="1"/>
    <xf numFmtId="0" fontId="79" fillId="0" borderId="0" xfId="11" applyFont="1"/>
    <xf numFmtId="0" fontId="80" fillId="0" borderId="0" xfId="11" applyFont="1"/>
    <xf numFmtId="0" fontId="81" fillId="0" borderId="0" xfId="11" applyFont="1"/>
    <xf numFmtId="0" fontId="79" fillId="0" borderId="8" xfId="11" applyFont="1" applyBorder="1" applyAlignment="1">
      <alignment horizontal="center"/>
    </xf>
    <xf numFmtId="0" fontId="79" fillId="0" borderId="0" xfId="11" applyFont="1" applyAlignment="1">
      <alignment horizontal="center"/>
    </xf>
    <xf numFmtId="0" fontId="79" fillId="0" borderId="26" xfId="11" applyFont="1" applyBorder="1"/>
    <xf numFmtId="164" fontId="79" fillId="0" borderId="26" xfId="11" applyNumberFormat="1" applyFont="1" applyBorder="1"/>
    <xf numFmtId="0" fontId="79" fillId="0" borderId="26" xfId="11" applyFont="1" applyBorder="1" applyAlignment="1">
      <alignment horizontal="center"/>
    </xf>
    <xf numFmtId="164" fontId="79" fillId="0" borderId="26" xfId="11" quotePrefix="1" applyNumberFormat="1" applyFont="1" applyBorder="1"/>
    <xf numFmtId="0" fontId="81" fillId="0" borderId="26" xfId="11" applyFont="1" applyBorder="1"/>
    <xf numFmtId="164" fontId="81" fillId="0" borderId="27" xfId="11" applyNumberFormat="1" applyFont="1" applyBorder="1"/>
    <xf numFmtId="164" fontId="79" fillId="0" borderId="0" xfId="11" applyNumberFormat="1" applyFont="1"/>
    <xf numFmtId="0" fontId="79" fillId="0" borderId="9" xfId="11" applyFont="1" applyBorder="1"/>
    <xf numFmtId="0" fontId="81" fillId="0" borderId="3" xfId="11" applyFont="1" applyBorder="1"/>
    <xf numFmtId="0" fontId="79" fillId="0" borderId="8" xfId="11" applyFont="1" applyBorder="1"/>
    <xf numFmtId="0" fontId="79" fillId="0" borderId="24" xfId="11" applyFont="1" applyBorder="1"/>
    <xf numFmtId="2" fontId="79" fillId="0" borderId="26" xfId="11" applyNumberFormat="1" applyFont="1" applyBorder="1"/>
    <xf numFmtId="0" fontId="79" fillId="0" borderId="26" xfId="11" applyFont="1" applyBorder="1" applyAlignment="1">
      <alignment wrapText="1"/>
    </xf>
    <xf numFmtId="0" fontId="79" fillId="0" borderId="9" xfId="11" applyFont="1" applyBorder="1" applyAlignment="1">
      <alignment horizontal="center"/>
    </xf>
    <xf numFmtId="49" fontId="82" fillId="0" borderId="0" xfId="0" applyNumberFormat="1" applyFont="1" applyAlignment="1" applyProtection="1">
      <alignment horizontal="center" vertical="top"/>
      <protection hidden="1"/>
    </xf>
    <xf numFmtId="49" fontId="82" fillId="0" borderId="0" xfId="0" applyNumberFormat="1" applyFont="1" applyAlignment="1" applyProtection="1">
      <alignment horizontal="center"/>
      <protection hidden="1"/>
    </xf>
    <xf numFmtId="0" fontId="84" fillId="0" borderId="0" xfId="0" applyFont="1" applyAlignment="1" applyProtection="1">
      <alignment horizontal="center"/>
      <protection hidden="1"/>
    </xf>
    <xf numFmtId="0" fontId="72" fillId="0" borderId="0" xfId="0" applyFont="1" applyAlignment="1" applyProtection="1">
      <alignment horizontal="left"/>
      <protection hidden="1"/>
    </xf>
    <xf numFmtId="0" fontId="84" fillId="0" borderId="0" xfId="0" applyFont="1" applyAlignment="1" applyProtection="1">
      <alignment horizontal="left"/>
      <protection hidden="1"/>
    </xf>
    <xf numFmtId="0" fontId="8" fillId="0" borderId="0" xfId="0" applyFont="1" applyProtection="1">
      <protection hidden="1"/>
    </xf>
    <xf numFmtId="0" fontId="8" fillId="0" borderId="0" xfId="0" applyFont="1" applyAlignment="1" applyProtection="1">
      <alignment horizontal="right"/>
      <protection hidden="1"/>
    </xf>
    <xf numFmtId="49" fontId="72" fillId="0" borderId="0" xfId="0" applyNumberFormat="1" applyFont="1" applyAlignment="1" applyProtection="1">
      <alignment horizontal="left"/>
      <protection hidden="1"/>
    </xf>
    <xf numFmtId="0" fontId="72" fillId="0" borderId="0" xfId="0" applyFont="1" applyProtection="1">
      <protection hidden="1"/>
    </xf>
    <xf numFmtId="0" fontId="84" fillId="0" borderId="0" xfId="0" applyFont="1" applyAlignment="1" applyProtection="1">
      <alignment horizontal="center" vertical="center"/>
      <protection hidden="1"/>
    </xf>
    <xf numFmtId="0" fontId="72" fillId="0" borderId="0" xfId="0" applyFont="1" applyAlignment="1" applyProtection="1">
      <alignment horizontal="center"/>
      <protection hidden="1"/>
    </xf>
    <xf numFmtId="0" fontId="84" fillId="0" borderId="0" xfId="0" applyFont="1" applyAlignment="1" applyProtection="1">
      <alignment horizontal="right"/>
      <protection hidden="1"/>
    </xf>
    <xf numFmtId="177" fontId="84" fillId="0" borderId="0" xfId="2" applyNumberFormat="1" applyFont="1" applyFill="1" applyBorder="1" applyAlignment="1" applyProtection="1">
      <alignment horizontal="left"/>
      <protection hidden="1"/>
    </xf>
    <xf numFmtId="0" fontId="84" fillId="0" borderId="0" xfId="0" applyFont="1" applyProtection="1">
      <protection hidden="1"/>
    </xf>
    <xf numFmtId="0" fontId="85" fillId="0" borderId="0" xfId="8" applyFont="1" applyFill="1" applyBorder="1" applyAlignment="1" applyProtection="1">
      <protection hidden="1"/>
    </xf>
    <xf numFmtId="0" fontId="72" fillId="0" borderId="0" xfId="0" applyFont="1" applyAlignment="1" applyProtection="1">
      <alignment horizontal="left" vertical="top" wrapText="1"/>
      <protection hidden="1"/>
    </xf>
    <xf numFmtId="0" fontId="72" fillId="0" borderId="0" xfId="0" applyFont="1" applyAlignment="1" applyProtection="1">
      <alignment horizontal="left" vertical="center"/>
      <protection hidden="1"/>
    </xf>
    <xf numFmtId="0" fontId="72" fillId="0" borderId="0" xfId="0" applyFont="1" applyAlignment="1" applyProtection="1">
      <alignment horizontal="right"/>
      <protection hidden="1"/>
    </xf>
    <xf numFmtId="169" fontId="72" fillId="0" borderId="0" xfId="2" applyNumberFormat="1" applyFont="1" applyFill="1" applyBorder="1" applyAlignment="1" applyProtection="1">
      <alignment horizontal="right"/>
      <protection hidden="1"/>
    </xf>
    <xf numFmtId="169" fontId="84" fillId="0" borderId="0" xfId="2" applyNumberFormat="1" applyFont="1" applyFill="1" applyBorder="1" applyProtection="1">
      <protection hidden="1"/>
    </xf>
    <xf numFmtId="2" fontId="84" fillId="0" borderId="0" xfId="0" applyNumberFormat="1" applyFont="1" applyAlignment="1" applyProtection="1">
      <alignment horizontal="center"/>
      <protection hidden="1"/>
    </xf>
    <xf numFmtId="1" fontId="72" fillId="0" borderId="0" xfId="0" applyNumberFormat="1" applyFont="1" applyAlignment="1" applyProtection="1">
      <alignment horizontal="center"/>
      <protection hidden="1"/>
    </xf>
    <xf numFmtId="164" fontId="72" fillId="0" borderId="0" xfId="2" applyFont="1" applyFill="1" applyBorder="1" applyProtection="1">
      <protection hidden="1"/>
    </xf>
    <xf numFmtId="2" fontId="72" fillId="0" borderId="0" xfId="0" applyNumberFormat="1" applyFont="1" applyProtection="1">
      <protection hidden="1"/>
    </xf>
    <xf numFmtId="2" fontId="72" fillId="0" borderId="29" xfId="0" applyNumberFormat="1" applyFont="1" applyBorder="1" applyAlignment="1" applyProtection="1">
      <alignment horizontal="left" vertical="top" wrapText="1" shrinkToFit="1"/>
      <protection hidden="1"/>
    </xf>
    <xf numFmtId="2" fontId="72" fillId="0" borderId="30" xfId="0" applyNumberFormat="1" applyFont="1" applyBorder="1" applyAlignment="1" applyProtection="1">
      <alignment horizontal="left" vertical="top" wrapText="1" shrinkToFit="1"/>
      <protection hidden="1"/>
    </xf>
    <xf numFmtId="0" fontId="72" fillId="0" borderId="11" xfId="0" applyFont="1" applyBorder="1" applyAlignment="1" applyProtection="1">
      <alignment horizontal="left"/>
      <protection hidden="1"/>
    </xf>
    <xf numFmtId="0" fontId="72" fillId="0" borderId="22" xfId="0" applyFont="1" applyBorder="1" applyAlignment="1" applyProtection="1">
      <alignment horizontal="left"/>
      <protection hidden="1"/>
    </xf>
    <xf numFmtId="0" fontId="72" fillId="0" borderId="11" xfId="0" applyFont="1" applyBorder="1" applyProtection="1">
      <protection hidden="1"/>
    </xf>
    <xf numFmtId="0" fontId="72" fillId="0" borderId="22" xfId="0" applyFont="1" applyBorder="1" applyProtection="1">
      <protection hidden="1"/>
    </xf>
    <xf numFmtId="0" fontId="72" fillId="0" borderId="0" xfId="0" applyFont="1" applyAlignment="1" applyProtection="1">
      <alignment horizontal="left" vertical="center" wrapText="1"/>
      <protection hidden="1"/>
    </xf>
    <xf numFmtId="0" fontId="72" fillId="0" borderId="22" xfId="0" applyFont="1" applyBorder="1" applyAlignment="1" applyProtection="1">
      <alignment horizontal="left" vertical="center" wrapText="1"/>
      <protection hidden="1"/>
    </xf>
    <xf numFmtId="0" fontId="84" fillId="0" borderId="0" xfId="0" applyFont="1" applyAlignment="1" applyProtection="1">
      <alignment horizontal="left" vertical="center"/>
      <protection hidden="1"/>
    </xf>
    <xf numFmtId="0" fontId="72" fillId="0" borderId="22" xfId="0" applyFont="1" applyBorder="1" applyAlignment="1" applyProtection="1">
      <alignment horizontal="center"/>
      <protection hidden="1"/>
    </xf>
    <xf numFmtId="0" fontId="72" fillId="0" borderId="22" xfId="0" applyFont="1" applyBorder="1" applyAlignment="1" applyProtection="1">
      <alignment horizontal="left" vertical="top" wrapText="1"/>
      <protection hidden="1"/>
    </xf>
    <xf numFmtId="0" fontId="72" fillId="0" borderId="11" xfId="0" applyFont="1" applyBorder="1" applyAlignment="1" applyProtection="1">
      <alignment horizontal="left" vertical="top" wrapText="1"/>
      <protection hidden="1"/>
    </xf>
    <xf numFmtId="0" fontId="84" fillId="0" borderId="11" xfId="0" applyFont="1" applyBorder="1" applyAlignment="1" applyProtection="1">
      <alignment horizontal="left"/>
      <protection hidden="1"/>
    </xf>
    <xf numFmtId="0" fontId="84" fillId="0" borderId="22" xfId="0" applyFont="1" applyBorder="1" applyAlignment="1" applyProtection="1">
      <alignment horizontal="left"/>
      <protection hidden="1"/>
    </xf>
    <xf numFmtId="0" fontId="84" fillId="0" borderId="22" xfId="0" applyFont="1" applyBorder="1" applyAlignment="1" applyProtection="1">
      <alignment horizontal="center"/>
      <protection hidden="1"/>
    </xf>
    <xf numFmtId="0" fontId="84" fillId="0" borderId="22" xfId="0" applyFont="1" applyBorder="1" applyProtection="1">
      <protection hidden="1"/>
    </xf>
    <xf numFmtId="0" fontId="72" fillId="0" borderId="12" xfId="0" applyFont="1" applyBorder="1" applyAlignment="1" applyProtection="1">
      <alignment horizontal="left"/>
      <protection hidden="1"/>
    </xf>
    <xf numFmtId="0" fontId="72" fillId="0" borderId="13" xfId="0" applyFont="1" applyBorder="1" applyAlignment="1" applyProtection="1">
      <alignment horizontal="left"/>
      <protection hidden="1"/>
    </xf>
    <xf numFmtId="0" fontId="72" fillId="0" borderId="31" xfId="0" applyFont="1" applyBorder="1" applyAlignment="1" applyProtection="1">
      <alignment horizontal="left"/>
      <protection hidden="1"/>
    </xf>
    <xf numFmtId="0" fontId="72" fillId="0" borderId="13" xfId="0" applyFont="1" applyBorder="1" applyAlignment="1" applyProtection="1">
      <alignment horizontal="center"/>
      <protection hidden="1"/>
    </xf>
    <xf numFmtId="0" fontId="72" fillId="0" borderId="31" xfId="0" applyFont="1" applyBorder="1" applyAlignment="1" applyProtection="1">
      <alignment horizontal="center"/>
      <protection hidden="1"/>
    </xf>
    <xf numFmtId="0" fontId="84" fillId="0" borderId="11" xfId="0" applyFont="1" applyBorder="1" applyProtection="1">
      <protection hidden="1"/>
    </xf>
    <xf numFmtId="0" fontId="13" fillId="0" borderId="1" xfId="0" applyFont="1" applyBorder="1" applyAlignment="1">
      <alignment vertical="center" wrapText="1"/>
    </xf>
    <xf numFmtId="0" fontId="2" fillId="0" borderId="13" xfId="0" applyFont="1" applyBorder="1"/>
    <xf numFmtId="0" fontId="90" fillId="0" borderId="0" xfId="0" applyFont="1" applyAlignment="1">
      <alignment horizontal="center"/>
    </xf>
    <xf numFmtId="164" fontId="27" fillId="0" borderId="1" xfId="1" applyNumberFormat="1" applyFont="1" applyBorder="1"/>
    <xf numFmtId="171" fontId="27" fillId="0" borderId="1" xfId="0" applyNumberFormat="1" applyFont="1" applyBorder="1"/>
    <xf numFmtId="0" fontId="6" fillId="0" borderId="11" xfId="0" applyFont="1" applyBorder="1" applyAlignment="1">
      <alignment horizontal="center"/>
    </xf>
    <xf numFmtId="0" fontId="6" fillId="0" borderId="22" xfId="0" applyFont="1" applyBorder="1" applyAlignment="1">
      <alignment horizontal="center"/>
    </xf>
    <xf numFmtId="0" fontId="27" fillId="0" borderId="11" xfId="0" applyFont="1" applyBorder="1"/>
    <xf numFmtId="0" fontId="27" fillId="0" borderId="22" xfId="0" applyFont="1" applyBorder="1"/>
    <xf numFmtId="10" fontId="70" fillId="0" borderId="1" xfId="0" applyNumberFormat="1" applyFont="1" applyBorder="1" applyAlignment="1">
      <alignment horizontal="center" vertical="center" wrapText="1"/>
    </xf>
    <xf numFmtId="9" fontId="60" fillId="0" borderId="1" xfId="0" applyNumberFormat="1" applyFont="1" applyBorder="1"/>
    <xf numFmtId="9" fontId="44" fillId="0" borderId="1" xfId="1" applyFont="1" applyFill="1" applyBorder="1" applyAlignment="1">
      <alignment horizontal="right" vertical="center" wrapText="1"/>
    </xf>
    <xf numFmtId="0" fontId="29" fillId="0" borderId="1" xfId="0" applyFont="1" applyBorder="1" applyAlignment="1">
      <alignment vertical="center" wrapText="1"/>
    </xf>
    <xf numFmtId="169" fontId="29" fillId="0" borderId="1" xfId="2" applyNumberFormat="1" applyFont="1" applyFill="1" applyBorder="1" applyAlignment="1">
      <alignment horizontal="left" vertical="center" wrapText="1"/>
    </xf>
    <xf numFmtId="169" fontId="29" fillId="0" borderId="1" xfId="2" applyNumberFormat="1" applyFont="1" applyFill="1" applyBorder="1" applyAlignment="1">
      <alignment vertical="center" wrapText="1"/>
    </xf>
    <xf numFmtId="169" fontId="29" fillId="0" borderId="1" xfId="2" applyNumberFormat="1" applyFont="1" applyFill="1" applyBorder="1" applyAlignment="1">
      <alignment horizontal="right" vertical="center" wrapText="1"/>
    </xf>
    <xf numFmtId="167" fontId="28" fillId="0" borderId="1" xfId="3" applyNumberFormat="1" applyFont="1" applyFill="1" applyBorder="1" applyAlignment="1">
      <alignment horizontal="right" vertical="center" wrapText="1"/>
    </xf>
    <xf numFmtId="167" fontId="41" fillId="0" borderId="1" xfId="3" applyNumberFormat="1" applyFont="1" applyFill="1" applyBorder="1" applyAlignment="1">
      <alignment horizontal="right" vertical="center" wrapText="1"/>
    </xf>
    <xf numFmtId="167" fontId="12" fillId="0" borderId="1" xfId="3" applyNumberFormat="1" applyFont="1" applyFill="1" applyBorder="1" applyAlignment="1">
      <alignment horizontal="center" vertical="center" wrapText="1"/>
    </xf>
    <xf numFmtId="167" fontId="12" fillId="0" borderId="1" xfId="3" applyNumberFormat="1" applyFont="1" applyFill="1" applyBorder="1" applyAlignment="1">
      <alignment horizontal="right" vertical="center" wrapText="1"/>
    </xf>
    <xf numFmtId="167" fontId="13" fillId="0" borderId="1" xfId="3" applyNumberFormat="1" applyFont="1" applyFill="1" applyBorder="1" applyAlignment="1">
      <alignment horizontal="right" vertical="center" wrapText="1"/>
    </xf>
    <xf numFmtId="167" fontId="41" fillId="0" borderId="1" xfId="3" applyNumberFormat="1" applyFont="1" applyFill="1" applyBorder="1" applyAlignment="1">
      <alignment horizontal="center" vertical="center" wrapText="1"/>
    </xf>
    <xf numFmtId="0" fontId="28" fillId="0" borderId="1" xfId="0" applyFont="1" applyBorder="1" applyAlignment="1">
      <alignment vertical="center" wrapText="1"/>
    </xf>
    <xf numFmtId="0" fontId="29" fillId="0" borderId="15" xfId="0" applyFont="1" applyBorder="1" applyAlignment="1">
      <alignment vertical="center" wrapText="1"/>
    </xf>
    <xf numFmtId="0" fontId="29" fillId="0" borderId="16" xfId="0" applyFont="1" applyBorder="1" applyAlignment="1">
      <alignment vertical="center" wrapText="1"/>
    </xf>
    <xf numFmtId="0" fontId="44" fillId="0" borderId="15" xfId="0" applyFont="1" applyBorder="1" applyAlignment="1">
      <alignment vertical="center" wrapText="1"/>
    </xf>
    <xf numFmtId="0" fontId="44" fillId="0" borderId="16" xfId="0" applyFont="1" applyBorder="1" applyAlignment="1">
      <alignment vertical="center" wrapText="1"/>
    </xf>
    <xf numFmtId="0" fontId="59" fillId="0" borderId="16" xfId="0" applyFont="1" applyBorder="1" applyAlignment="1">
      <alignment horizontal="center" vertical="center" wrapText="1"/>
    </xf>
    <xf numFmtId="0" fontId="91" fillId="0" borderId="1" xfId="0" applyFont="1" applyBorder="1" applyAlignment="1">
      <alignment horizontal="center" vertical="center" wrapText="1"/>
    </xf>
    <xf numFmtId="167" fontId="91" fillId="0" borderId="1" xfId="3" applyNumberFormat="1" applyFont="1" applyFill="1" applyBorder="1" applyAlignment="1">
      <alignment horizontal="center" vertical="center" wrapText="1"/>
    </xf>
    <xf numFmtId="167" fontId="91" fillId="0" borderId="1" xfId="3" applyNumberFormat="1" applyFont="1" applyFill="1" applyBorder="1" applyAlignment="1">
      <alignment horizontal="right" vertical="center" wrapText="1"/>
    </xf>
    <xf numFmtId="0" fontId="26" fillId="0" borderId="0" xfId="0" applyFont="1" applyAlignment="1">
      <alignment horizontal="center"/>
    </xf>
    <xf numFmtId="169" fontId="26" fillId="0" borderId="0" xfId="0" applyNumberFormat="1" applyFont="1" applyAlignment="1">
      <alignment horizontal="center"/>
    </xf>
    <xf numFmtId="0" fontId="92" fillId="0" borderId="1" xfId="0" applyFont="1" applyBorder="1" applyAlignment="1">
      <alignment horizontal="center" vertical="center" wrapText="1"/>
    </xf>
    <xf numFmtId="167" fontId="92" fillId="0" borderId="1" xfId="3" applyNumberFormat="1" applyFont="1" applyFill="1" applyBorder="1" applyAlignment="1">
      <alignment horizontal="center" vertical="center" wrapText="1"/>
    </xf>
    <xf numFmtId="167" fontId="92" fillId="0" borderId="1" xfId="3" applyNumberFormat="1" applyFont="1" applyFill="1" applyBorder="1" applyAlignment="1">
      <alignment horizontal="right" vertical="center" wrapText="1"/>
    </xf>
    <xf numFmtId="0" fontId="37" fillId="0" borderId="0" xfId="6" applyFont="1"/>
    <xf numFmtId="0" fontId="2" fillId="0" borderId="0" xfId="0" applyFont="1" applyAlignment="1">
      <alignment wrapText="1"/>
    </xf>
    <xf numFmtId="0" fontId="27" fillId="0" borderId="15" xfId="0" applyFont="1" applyBorder="1"/>
    <xf numFmtId="2" fontId="27" fillId="0" borderId="15" xfId="0" applyNumberFormat="1" applyFont="1" applyBorder="1"/>
    <xf numFmtId="0" fontId="28" fillId="0" borderId="15" xfId="0" applyFont="1" applyBorder="1"/>
    <xf numFmtId="0" fontId="27" fillId="0" borderId="16" xfId="0" applyFont="1" applyBorder="1"/>
    <xf numFmtId="2" fontId="27" fillId="0" borderId="16" xfId="0" applyNumberFormat="1" applyFont="1" applyBorder="1"/>
    <xf numFmtId="0" fontId="28" fillId="0" borderId="16" xfId="0" applyFont="1" applyBorder="1"/>
    <xf numFmtId="0" fontId="21" fillId="5" borderId="15" xfId="0" applyFont="1" applyFill="1" applyBorder="1"/>
    <xf numFmtId="0" fontId="27" fillId="0" borderId="15" xfId="0" applyFont="1" applyBorder="1" applyAlignment="1">
      <alignment wrapText="1"/>
    </xf>
    <xf numFmtId="0" fontId="7" fillId="0" borderId="15" xfId="0" applyFont="1" applyBorder="1"/>
    <xf numFmtId="0" fontId="21" fillId="5" borderId="16" xfId="0" applyFont="1" applyFill="1" applyBorder="1"/>
    <xf numFmtId="0" fontId="27" fillId="0" borderId="16" xfId="0" applyFont="1" applyBorder="1" applyAlignment="1">
      <alignment wrapText="1"/>
    </xf>
    <xf numFmtId="0" fontId="7" fillId="0" borderId="16" xfId="0" applyFont="1" applyBorder="1"/>
    <xf numFmtId="0" fontId="23" fillId="5" borderId="15" xfId="0" applyFont="1" applyFill="1" applyBorder="1" applyAlignment="1">
      <alignment horizontal="center"/>
    </xf>
    <xf numFmtId="0" fontId="10" fillId="0" borderId="15" xfId="0" applyFont="1" applyBorder="1" applyAlignment="1">
      <alignment horizontal="center"/>
    </xf>
    <xf numFmtId="0" fontId="23" fillId="5" borderId="16" xfId="0" applyFont="1" applyFill="1" applyBorder="1" applyAlignment="1">
      <alignment horizontal="center"/>
    </xf>
    <xf numFmtId="0" fontId="10" fillId="0" borderId="16" xfId="0" applyFont="1" applyBorder="1" applyAlignment="1">
      <alignment horizontal="center"/>
    </xf>
    <xf numFmtId="0" fontId="4" fillId="0" borderId="15" xfId="0" applyFont="1" applyBorder="1"/>
    <xf numFmtId="0" fontId="6" fillId="0" borderId="15" xfId="0" applyFont="1" applyBorder="1"/>
    <xf numFmtId="0" fontId="4" fillId="0" borderId="16" xfId="0" applyFont="1" applyBorder="1"/>
    <xf numFmtId="0" fontId="6" fillId="0" borderId="16" xfId="0" applyFont="1" applyBorder="1"/>
    <xf numFmtId="3" fontId="4" fillId="0" borderId="1" xfId="0" applyNumberFormat="1" applyFont="1" applyBorder="1"/>
    <xf numFmtId="0" fontId="21" fillId="2" borderId="15" xfId="0" applyFont="1" applyFill="1" applyBorder="1"/>
    <xf numFmtId="0" fontId="21" fillId="2" borderId="21" xfId="0" applyFont="1" applyFill="1" applyBorder="1"/>
    <xf numFmtId="0" fontId="21" fillId="2" borderId="16" xfId="0" applyFont="1" applyFill="1" applyBorder="1"/>
    <xf numFmtId="0" fontId="27" fillId="0" borderId="21" xfId="0" applyFont="1" applyBorder="1"/>
    <xf numFmtId="167" fontId="28" fillId="0" borderId="15" xfId="3" applyNumberFormat="1" applyFont="1" applyBorder="1"/>
    <xf numFmtId="167" fontId="28" fillId="0" borderId="21" xfId="3" applyNumberFormat="1" applyFont="1" applyBorder="1"/>
    <xf numFmtId="167" fontId="28" fillId="0" borderId="16" xfId="3" applyNumberFormat="1" applyFont="1" applyBorder="1"/>
    <xf numFmtId="0" fontId="28" fillId="0" borderId="21" xfId="0" applyFont="1" applyBorder="1"/>
    <xf numFmtId="0" fontId="28" fillId="7" borderId="15" xfId="0" applyFont="1" applyFill="1" applyBorder="1"/>
    <xf numFmtId="0" fontId="28" fillId="7" borderId="21" xfId="0" applyFont="1" applyFill="1" applyBorder="1"/>
    <xf numFmtId="0" fontId="28" fillId="7" borderId="16" xfId="0" applyFont="1" applyFill="1" applyBorder="1"/>
    <xf numFmtId="0" fontId="27" fillId="7" borderId="15" xfId="0" applyFont="1" applyFill="1" applyBorder="1"/>
    <xf numFmtId="0" fontId="21" fillId="5" borderId="21" xfId="0" applyFont="1" applyFill="1" applyBorder="1"/>
    <xf numFmtId="0" fontId="27" fillId="7" borderId="21" xfId="0" applyFont="1" applyFill="1" applyBorder="1"/>
    <xf numFmtId="0" fontId="27" fillId="7" borderId="16" xfId="0" applyFont="1" applyFill="1" applyBorder="1"/>
    <xf numFmtId="0" fontId="0" fillId="0" borderId="0" xfId="0" applyAlignment="1">
      <alignment horizontal="left"/>
    </xf>
    <xf numFmtId="0" fontId="2" fillId="0" borderId="0" xfId="0" applyFont="1" applyAlignment="1">
      <alignment horizontal="left" wrapText="1"/>
    </xf>
    <xf numFmtId="0" fontId="21" fillId="5" borderId="0" xfId="0" applyFont="1" applyFill="1" applyAlignment="1">
      <alignment horizontal="center"/>
    </xf>
    <xf numFmtId="169" fontId="28" fillId="6" borderId="0" xfId="2" applyNumberFormat="1" applyFont="1" applyFill="1" applyBorder="1"/>
    <xf numFmtId="169" fontId="27" fillId="0" borderId="0" xfId="2" applyNumberFormat="1" applyFont="1" applyFill="1" applyBorder="1"/>
    <xf numFmtId="164" fontId="27" fillId="0" borderId="0" xfId="2" applyFont="1" applyBorder="1"/>
    <xf numFmtId="164" fontId="27" fillId="6" borderId="0" xfId="2" applyFont="1" applyFill="1" applyBorder="1"/>
    <xf numFmtId="0" fontId="21" fillId="2" borderId="0" xfId="0" applyFont="1" applyFill="1" applyAlignment="1">
      <alignment horizontal="center"/>
    </xf>
    <xf numFmtId="169" fontId="27" fillId="0" borderId="2" xfId="2" applyNumberFormat="1" applyFont="1" applyBorder="1"/>
    <xf numFmtId="9" fontId="27" fillId="0" borderId="0" xfId="1" applyFont="1" applyBorder="1"/>
    <xf numFmtId="0" fontId="0" fillId="0" borderId="0" xfId="0" applyAlignment="1">
      <alignment horizontal="left" wrapText="1"/>
    </xf>
    <xf numFmtId="0" fontId="104" fillId="0" borderId="0" xfId="0" applyFont="1" applyAlignment="1">
      <alignment horizontal="center" vertical="center"/>
    </xf>
    <xf numFmtId="0" fontId="105" fillId="0" borderId="0" xfId="0" applyFont="1" applyAlignment="1">
      <alignment horizontal="justify" vertical="center"/>
    </xf>
    <xf numFmtId="0" fontId="101" fillId="0" borderId="0" xfId="0" applyFont="1" applyAlignment="1">
      <alignment horizontal="left" vertical="center"/>
    </xf>
    <xf numFmtId="0" fontId="102" fillId="0" borderId="0" xfId="0" applyFont="1" applyAlignment="1">
      <alignment horizontal="left" vertical="center"/>
    </xf>
    <xf numFmtId="0" fontId="0" fillId="7" borderId="0" xfId="0" applyFill="1"/>
    <xf numFmtId="0" fontId="106" fillId="0" borderId="0" xfId="0" applyFont="1" applyAlignment="1">
      <alignment vertical="center"/>
    </xf>
    <xf numFmtId="0" fontId="109" fillId="0" borderId="0" xfId="0" applyFont="1" applyAlignment="1">
      <alignment horizontal="center" vertical="center" wrapText="1"/>
    </xf>
    <xf numFmtId="0" fontId="0" fillId="0" borderId="29" xfId="0" applyBorder="1" applyAlignment="1">
      <alignment horizontal="left"/>
    </xf>
    <xf numFmtId="178" fontId="109" fillId="0" borderId="15" xfId="0" applyNumberFormat="1" applyFont="1" applyBorder="1" applyAlignment="1">
      <alignment horizontal="center" vertical="center" wrapText="1"/>
    </xf>
    <xf numFmtId="0" fontId="0" fillId="0" borderId="29" xfId="0" applyBorder="1"/>
    <xf numFmtId="178" fontId="0" fillId="0" borderId="15" xfId="0" applyNumberFormat="1" applyBorder="1" applyAlignment="1">
      <alignment vertical="center"/>
    </xf>
    <xf numFmtId="179" fontId="0" fillId="0" borderId="15" xfId="0" applyNumberFormat="1" applyBorder="1" applyAlignment="1">
      <alignment vertical="center"/>
    </xf>
    <xf numFmtId="179" fontId="0" fillId="0" borderId="28" xfId="0" applyNumberFormat="1" applyBorder="1" applyAlignment="1">
      <alignment vertical="center"/>
    </xf>
    <xf numFmtId="0" fontId="0" fillId="0" borderId="12" xfId="0" applyBorder="1" applyAlignment="1">
      <alignment vertical="center"/>
    </xf>
    <xf numFmtId="178" fontId="0" fillId="0" borderId="1" xfId="0" applyNumberFormat="1" applyBorder="1"/>
    <xf numFmtId="0" fontId="0" fillId="0" borderId="1" xfId="0" applyBorder="1" applyAlignment="1">
      <alignment vertical="top"/>
    </xf>
    <xf numFmtId="0" fontId="2" fillId="0" borderId="1" xfId="0" applyFont="1" applyBorder="1" applyAlignment="1">
      <alignment vertical="top"/>
    </xf>
    <xf numFmtId="0" fontId="2" fillId="0" borderId="1" xfId="0" applyFont="1" applyBorder="1" applyAlignment="1">
      <alignment vertical="top" wrapText="1"/>
    </xf>
    <xf numFmtId="0" fontId="0" fillId="0" borderId="1" xfId="0" applyBorder="1" applyAlignment="1">
      <alignment vertical="top" wrapText="1"/>
    </xf>
    <xf numFmtId="178" fontId="2" fillId="0" borderId="1" xfId="0" applyNumberFormat="1" applyFont="1" applyBorder="1" applyAlignment="1">
      <alignment vertical="top" wrapText="1"/>
    </xf>
    <xf numFmtId="0" fontId="97" fillId="0" borderId="0" xfId="0" applyFont="1"/>
    <xf numFmtId="178" fontId="2" fillId="0" borderId="1" xfId="0" applyNumberFormat="1" applyFont="1" applyBorder="1" applyAlignment="1">
      <alignment horizontal="center" vertical="top" wrapText="1"/>
    </xf>
    <xf numFmtId="0" fontId="109" fillId="0" borderId="0" xfId="0" applyFont="1" applyAlignment="1">
      <alignment horizontal="left" vertical="center"/>
    </xf>
    <xf numFmtId="0" fontId="0" fillId="0" borderId="28" xfId="0" applyBorder="1"/>
    <xf numFmtId="0" fontId="0" fillId="0" borderId="11" xfId="0" applyBorder="1"/>
    <xf numFmtId="0" fontId="0" fillId="0" borderId="12" xfId="0" applyBorder="1"/>
    <xf numFmtId="0" fontId="0" fillId="0" borderId="15" xfId="0" applyBorder="1"/>
    <xf numFmtId="0" fontId="0" fillId="0" borderId="13" xfId="0" applyBorder="1" applyAlignment="1">
      <alignment horizontal="left"/>
    </xf>
    <xf numFmtId="0" fontId="0" fillId="0" borderId="20" xfId="0" applyBorder="1"/>
    <xf numFmtId="0" fontId="0" fillId="0" borderId="14" xfId="0" applyBorder="1"/>
    <xf numFmtId="0" fontId="0" fillId="0" borderId="30" xfId="0" applyBorder="1"/>
    <xf numFmtId="0" fontId="0" fillId="0" borderId="22" xfId="0" applyBorder="1"/>
    <xf numFmtId="0" fontId="0" fillId="0" borderId="13" xfId="0" applyBorder="1"/>
    <xf numFmtId="0" fontId="0" fillId="0" borderId="31" xfId="0" applyBorder="1"/>
    <xf numFmtId="0" fontId="0" fillId="0" borderId="2" xfId="0" applyBorder="1"/>
    <xf numFmtId="0" fontId="2" fillId="0" borderId="1" xfId="0" applyFont="1" applyBorder="1" applyAlignment="1">
      <alignment wrapText="1"/>
    </xf>
    <xf numFmtId="0" fontId="110" fillId="0" borderId="0" xfId="0" applyFont="1" applyAlignment="1">
      <alignment horizontal="left" vertical="center" indent="3"/>
    </xf>
    <xf numFmtId="0" fontId="16" fillId="0" borderId="0" xfId="8" applyAlignment="1" applyProtection="1">
      <alignment vertical="center"/>
    </xf>
    <xf numFmtId="0" fontId="117" fillId="0" borderId="0" xfId="0" applyFont="1" applyAlignment="1">
      <alignment vertical="center"/>
    </xf>
    <xf numFmtId="0" fontId="16" fillId="0" borderId="0" xfId="8" applyAlignment="1" applyProtection="1">
      <alignment horizontal="left" vertical="center" wrapText="1"/>
    </xf>
    <xf numFmtId="0" fontId="112" fillId="0" borderId="0" xfId="0" applyFont="1" applyAlignment="1">
      <alignment vertical="center"/>
    </xf>
    <xf numFmtId="0" fontId="16" fillId="0" borderId="0" xfId="8" applyAlignment="1" applyProtection="1"/>
    <xf numFmtId="0" fontId="0" fillId="0" borderId="29" xfId="0" applyBorder="1" applyAlignment="1">
      <alignment horizontal="center"/>
    </xf>
    <xf numFmtId="0" fontId="93" fillId="0" borderId="0" xfId="0" applyFont="1"/>
    <xf numFmtId="0" fontId="2" fillId="0" borderId="1" xfId="0" applyFont="1" applyBorder="1" applyAlignment="1">
      <alignment vertical="center"/>
    </xf>
    <xf numFmtId="0" fontId="2" fillId="0" borderId="0" xfId="0" applyFont="1" applyAlignment="1">
      <alignment vertical="center"/>
    </xf>
    <xf numFmtId="0" fontId="60" fillId="0" borderId="0" xfId="0" applyFont="1"/>
    <xf numFmtId="0" fontId="0" fillId="0" borderId="15" xfId="0" applyBorder="1" applyAlignment="1">
      <alignment horizontal="left"/>
    </xf>
    <xf numFmtId="0" fontId="0" fillId="0" borderId="21" xfId="0" applyBorder="1" applyAlignment="1">
      <alignment horizontal="left"/>
    </xf>
    <xf numFmtId="0" fontId="0" fillId="0" borderId="16" xfId="0" applyBorder="1" applyAlignment="1">
      <alignment horizontal="left"/>
    </xf>
    <xf numFmtId="0" fontId="0" fillId="0" borderId="16" xfId="0" applyBorder="1"/>
    <xf numFmtId="0" fontId="2" fillId="0" borderId="15" xfId="0" applyFont="1" applyBorder="1" applyAlignment="1">
      <alignment horizontal="left"/>
    </xf>
    <xf numFmtId="0" fontId="2" fillId="0" borderId="21" xfId="0" applyFont="1" applyBorder="1" applyAlignment="1">
      <alignment horizontal="left"/>
    </xf>
    <xf numFmtId="0" fontId="2" fillId="0" borderId="16" xfId="0" applyFont="1" applyBorder="1" applyAlignment="1">
      <alignment horizontal="left"/>
    </xf>
    <xf numFmtId="0" fontId="0" fillId="0" borderId="21" xfId="0" applyBorder="1"/>
    <xf numFmtId="0" fontId="0" fillId="0" borderId="22" xfId="0" applyBorder="1" applyAlignment="1">
      <alignment vertical="center" wrapText="1"/>
    </xf>
    <xf numFmtId="0" fontId="0" fillId="12" borderId="0" xfId="0" applyFill="1"/>
    <xf numFmtId="0" fontId="72" fillId="0" borderId="11" xfId="0" applyFont="1" applyBorder="1" applyAlignment="1" applyProtection="1">
      <alignment vertical="top" wrapText="1"/>
      <protection hidden="1"/>
    </xf>
    <xf numFmtId="0" fontId="72" fillId="0" borderId="0" xfId="0" applyFont="1" applyAlignment="1" applyProtection="1">
      <alignment vertical="top" wrapText="1"/>
      <protection hidden="1"/>
    </xf>
    <xf numFmtId="0" fontId="72" fillId="0" borderId="28" xfId="0" applyFont="1" applyBorder="1" applyProtection="1">
      <protection hidden="1"/>
    </xf>
    <xf numFmtId="0" fontId="72" fillId="0" borderId="29" xfId="0" applyFont="1" applyBorder="1" applyProtection="1">
      <protection hidden="1"/>
    </xf>
    <xf numFmtId="0" fontId="72" fillId="0" borderId="30" xfId="0" applyFont="1" applyBorder="1" applyProtection="1">
      <protection hidden="1"/>
    </xf>
    <xf numFmtId="0" fontId="89" fillId="0" borderId="0" xfId="0" applyFont="1" applyProtection="1">
      <protection hidden="1"/>
    </xf>
    <xf numFmtId="0" fontId="84" fillId="0" borderId="0" xfId="0" applyFont="1" applyAlignment="1" applyProtection="1">
      <alignment wrapText="1"/>
      <protection hidden="1"/>
    </xf>
    <xf numFmtId="9" fontId="60" fillId="0" borderId="1" xfId="1" applyFont="1" applyBorder="1"/>
    <xf numFmtId="1" fontId="60" fillId="0" borderId="1" xfId="0" applyNumberFormat="1" applyFont="1" applyBorder="1"/>
    <xf numFmtId="178" fontId="2" fillId="0" borderId="1" xfId="0" applyNumberFormat="1" applyFont="1" applyBorder="1" applyAlignment="1">
      <alignment vertical="top"/>
    </xf>
    <xf numFmtId="0" fontId="0" fillId="0" borderId="1" xfId="0" applyBorder="1" applyAlignment="1">
      <alignment vertical="center"/>
    </xf>
    <xf numFmtId="0" fontId="70" fillId="0" borderId="1" xfId="0" applyFont="1" applyBorder="1" applyAlignment="1">
      <alignment horizontal="center" vertical="center" wrapText="1"/>
    </xf>
    <xf numFmtId="0" fontId="70" fillId="0" borderId="1" xfId="0" applyFont="1" applyBorder="1" applyAlignment="1">
      <alignment vertical="center" wrapText="1"/>
    </xf>
    <xf numFmtId="0" fontId="70" fillId="0" borderId="1" xfId="0" applyFont="1" applyBorder="1" applyAlignment="1">
      <alignment horizontal="left" vertical="center" wrapText="1"/>
    </xf>
    <xf numFmtId="0" fontId="0" fillId="0" borderId="2" xfId="0" applyBorder="1" applyAlignment="1">
      <alignment horizontal="center" vertical="center"/>
    </xf>
    <xf numFmtId="0" fontId="0" fillId="0" borderId="2" xfId="0" applyBorder="1" applyAlignment="1">
      <alignment horizontal="center"/>
    </xf>
    <xf numFmtId="0" fontId="0" fillId="0" borderId="1" xfId="0" applyBorder="1" applyAlignment="1">
      <alignment horizontal="center" vertical="top"/>
    </xf>
    <xf numFmtId="0" fontId="0" fillId="0" borderId="20" xfId="0" applyBorder="1" applyAlignment="1">
      <alignment horizontal="center"/>
    </xf>
    <xf numFmtId="0" fontId="0" fillId="0" borderId="14" xfId="0" applyBorder="1" applyAlignment="1">
      <alignment horizontal="center"/>
    </xf>
    <xf numFmtId="0" fontId="0" fillId="0" borderId="2" xfId="0" applyBorder="1" applyAlignment="1">
      <alignment horizontal="center" vertical="top"/>
    </xf>
    <xf numFmtId="0" fontId="0" fillId="0" borderId="20" xfId="0" applyBorder="1" applyAlignment="1">
      <alignment horizontal="center" vertical="top"/>
    </xf>
    <xf numFmtId="0" fontId="0" fillId="0" borderId="14" xfId="0" applyBorder="1" applyAlignment="1">
      <alignment horizontal="center" vertical="top"/>
    </xf>
    <xf numFmtId="0" fontId="42" fillId="0" borderId="16" xfId="0" applyFont="1" applyBorder="1" applyAlignment="1">
      <alignment horizontal="center" vertical="center" wrapText="1"/>
    </xf>
    <xf numFmtId="2" fontId="0" fillId="0" borderId="1" xfId="0" applyNumberFormat="1" applyBorder="1"/>
    <xf numFmtId="164" fontId="27" fillId="0" borderId="1" xfId="2" applyFont="1" applyFill="1" applyBorder="1"/>
    <xf numFmtId="0" fontId="40" fillId="2" borderId="15" xfId="0" applyFont="1" applyFill="1" applyBorder="1" applyAlignment="1">
      <alignment horizontal="center" vertical="center" wrapText="1"/>
    </xf>
    <xf numFmtId="0" fontId="41" fillId="0" borderId="15" xfId="0" applyFont="1" applyBorder="1" applyAlignment="1">
      <alignment vertical="center" wrapText="1"/>
    </xf>
    <xf numFmtId="0" fontId="40" fillId="2" borderId="16" xfId="0" applyFont="1" applyFill="1" applyBorder="1" applyAlignment="1">
      <alignment horizontal="center" vertical="center" wrapText="1"/>
    </xf>
    <xf numFmtId="0" fontId="41" fillId="0" borderId="16" xfId="0" applyFont="1" applyBorder="1" applyAlignment="1">
      <alignment vertical="center" wrapText="1"/>
    </xf>
    <xf numFmtId="0" fontId="11" fillId="2" borderId="15" xfId="0" applyFont="1" applyFill="1" applyBorder="1" applyAlignment="1">
      <alignment horizontal="center" vertical="center" wrapText="1"/>
    </xf>
    <xf numFmtId="0" fontId="12" fillId="0" borderId="15" xfId="0" applyFont="1" applyBorder="1" applyAlignment="1">
      <alignment vertical="center" wrapText="1"/>
    </xf>
    <xf numFmtId="0" fontId="92" fillId="0" borderId="15" xfId="0" applyFont="1" applyBorder="1" applyAlignment="1">
      <alignment vertical="center" wrapText="1"/>
    </xf>
    <xf numFmtId="0" fontId="91" fillId="0" borderId="15" xfId="0" applyFont="1" applyBorder="1" applyAlignment="1">
      <alignment vertical="center" wrapText="1"/>
    </xf>
    <xf numFmtId="0" fontId="11" fillId="2" borderId="16" xfId="0" applyFont="1" applyFill="1" applyBorder="1" applyAlignment="1">
      <alignment horizontal="center" vertical="center" wrapText="1"/>
    </xf>
    <xf numFmtId="0" fontId="12" fillId="0" borderId="16" xfId="0" applyFont="1" applyBorder="1" applyAlignment="1">
      <alignment vertical="center" wrapText="1"/>
    </xf>
    <xf numFmtId="0" fontId="92" fillId="0" borderId="16" xfId="0" applyFont="1" applyBorder="1" applyAlignment="1">
      <alignment vertical="center" wrapText="1"/>
    </xf>
    <xf numFmtId="0" fontId="91" fillId="0" borderId="16" xfId="0" applyFont="1" applyBorder="1" applyAlignment="1">
      <alignment vertical="center" wrapText="1"/>
    </xf>
    <xf numFmtId="0" fontId="21" fillId="5" borderId="0" xfId="0" applyFont="1" applyFill="1" applyAlignment="1">
      <alignment horizontal="right"/>
    </xf>
    <xf numFmtId="2" fontId="0" fillId="0" borderId="2" xfId="0" applyNumberFormat="1" applyBorder="1"/>
    <xf numFmtId="169" fontId="27" fillId="0" borderId="11" xfId="2" applyNumberFormat="1" applyFont="1" applyFill="1" applyBorder="1"/>
    <xf numFmtId="43" fontId="27" fillId="0" borderId="11" xfId="0" applyNumberFormat="1" applyFont="1" applyBorder="1"/>
    <xf numFmtId="171" fontId="27" fillId="0" borderId="11" xfId="0" applyNumberFormat="1" applyFont="1" applyBorder="1"/>
    <xf numFmtId="9" fontId="27" fillId="0" borderId="11" xfId="1" applyFont="1" applyFill="1" applyBorder="1"/>
    <xf numFmtId="2" fontId="0" fillId="0" borderId="11" xfId="0" applyNumberFormat="1" applyBorder="1"/>
    <xf numFmtId="0" fontId="0" fillId="14" borderId="0" xfId="0" applyFill="1"/>
    <xf numFmtId="169" fontId="0" fillId="6" borderId="0" xfId="2" applyNumberFormat="1" applyFont="1" applyFill="1"/>
    <xf numFmtId="1" fontId="0" fillId="14" borderId="0" xfId="0" applyNumberFormat="1" applyFill="1"/>
    <xf numFmtId="1" fontId="0" fillId="15" borderId="0" xfId="0" applyNumberFormat="1" applyFill="1"/>
    <xf numFmtId="169" fontId="0" fillId="0" borderId="0" xfId="2" applyNumberFormat="1" applyFont="1" applyFill="1"/>
    <xf numFmtId="1" fontId="0" fillId="6" borderId="0" xfId="0" applyNumberFormat="1" applyFill="1"/>
    <xf numFmtId="0" fontId="0" fillId="15" borderId="0" xfId="0" applyFill="1"/>
    <xf numFmtId="178" fontId="0" fillId="0" borderId="0" xfId="0" applyNumberFormat="1"/>
    <xf numFmtId="169" fontId="44" fillId="0" borderId="1" xfId="3" applyNumberFormat="1" applyFont="1" applyFill="1" applyBorder="1" applyAlignment="1">
      <alignment horizontal="right" vertical="center" wrapText="1"/>
    </xf>
    <xf numFmtId="0" fontId="54" fillId="5" borderId="11" xfId="0" applyFont="1" applyFill="1" applyBorder="1" applyAlignment="1">
      <alignment wrapText="1"/>
    </xf>
    <xf numFmtId="0" fontId="54" fillId="5" borderId="0" xfId="0" applyFont="1" applyFill="1" applyAlignment="1">
      <alignment wrapText="1"/>
    </xf>
    <xf numFmtId="0" fontId="40" fillId="2" borderId="0" xfId="0" applyFont="1" applyFill="1" applyAlignment="1">
      <alignment horizontal="center" vertical="center" wrapText="1"/>
    </xf>
    <xf numFmtId="166" fontId="29" fillId="0" borderId="0" xfId="3" applyFont="1" applyFill="1" applyBorder="1" applyAlignment="1">
      <alignment horizontal="right" vertical="center" wrapText="1"/>
    </xf>
    <xf numFmtId="169" fontId="29" fillId="0" borderId="0" xfId="2" applyNumberFormat="1" applyFont="1" applyFill="1" applyBorder="1" applyAlignment="1">
      <alignment horizontal="right" vertical="center" wrapText="1"/>
    </xf>
    <xf numFmtId="167" fontId="28" fillId="0" borderId="0" xfId="3" applyNumberFormat="1" applyFont="1" applyFill="1" applyBorder="1" applyAlignment="1">
      <alignment horizontal="right" vertical="center" wrapText="1"/>
    </xf>
    <xf numFmtId="167" fontId="41" fillId="0" borderId="0" xfId="3" applyNumberFormat="1" applyFont="1" applyFill="1" applyBorder="1" applyAlignment="1">
      <alignment horizontal="right" vertical="center" wrapText="1"/>
    </xf>
    <xf numFmtId="167" fontId="42" fillId="0" borderId="0" xfId="3" applyNumberFormat="1" applyFont="1" applyFill="1" applyBorder="1" applyAlignment="1">
      <alignment horizontal="right" vertical="center" wrapText="1"/>
    </xf>
    <xf numFmtId="181" fontId="0" fillId="0" borderId="1" xfId="0" applyNumberFormat="1" applyBorder="1"/>
    <xf numFmtId="181" fontId="7" fillId="0" borderId="1" xfId="0" applyNumberFormat="1" applyFont="1" applyBorder="1"/>
    <xf numFmtId="9" fontId="0" fillId="0" borderId="1" xfId="1" applyFont="1" applyFill="1" applyBorder="1"/>
    <xf numFmtId="169" fontId="28" fillId="0" borderId="1" xfId="2" applyNumberFormat="1" applyFont="1" applyFill="1" applyBorder="1"/>
    <xf numFmtId="171" fontId="28" fillId="0" borderId="1" xfId="0" applyNumberFormat="1" applyFont="1" applyBorder="1"/>
    <xf numFmtId="0" fontId="21" fillId="0" borderId="1" xfId="0" applyFont="1" applyBorder="1"/>
    <xf numFmtId="0" fontId="21" fillId="0" borderId="1" xfId="0" applyFont="1" applyBorder="1" applyAlignment="1">
      <alignment horizontal="center"/>
    </xf>
    <xf numFmtId="169" fontId="29" fillId="0" borderId="1" xfId="2" applyNumberFormat="1" applyFont="1" applyFill="1" applyBorder="1"/>
    <xf numFmtId="169" fontId="68" fillId="0" borderId="1" xfId="2" applyNumberFormat="1" applyFont="1" applyFill="1" applyBorder="1"/>
    <xf numFmtId="169" fontId="27" fillId="0" borderId="1" xfId="2" applyNumberFormat="1" applyFont="1" applyFill="1" applyBorder="1" applyAlignment="1">
      <alignment wrapText="1"/>
    </xf>
    <xf numFmtId="176" fontId="27" fillId="0" borderId="1" xfId="2" applyNumberFormat="1" applyFont="1" applyFill="1" applyBorder="1"/>
    <xf numFmtId="169" fontId="28" fillId="0" borderId="1" xfId="2" applyNumberFormat="1" applyFont="1" applyFill="1" applyBorder="1" applyAlignment="1">
      <alignment wrapText="1"/>
    </xf>
    <xf numFmtId="0" fontId="47" fillId="0" borderId="0" xfId="0" applyFont="1" applyAlignment="1">
      <alignment wrapText="1"/>
    </xf>
    <xf numFmtId="0" fontId="46" fillId="0" borderId="0" xfId="0" applyFont="1" applyAlignment="1">
      <alignment wrapText="1"/>
    </xf>
    <xf numFmtId="0" fontId="0" fillId="0" borderId="21" xfId="0" applyBorder="1" applyAlignment="1">
      <alignment horizontal="right"/>
    </xf>
    <xf numFmtId="9" fontId="42" fillId="0" borderId="1" xfId="0" applyNumberFormat="1" applyFont="1" applyBorder="1" applyAlignment="1">
      <alignment horizontal="center" vertical="center" wrapText="1"/>
    </xf>
    <xf numFmtId="0" fontId="2" fillId="0" borderId="21" xfId="0" applyFont="1" applyBorder="1" applyAlignment="1">
      <alignment horizontal="right"/>
    </xf>
    <xf numFmtId="0" fontId="8" fillId="0" borderId="0" xfId="12" applyFont="1"/>
    <xf numFmtId="0" fontId="8" fillId="0" borderId="13" xfId="12" applyFont="1" applyBorder="1" applyAlignment="1">
      <alignment horizontal="center"/>
    </xf>
    <xf numFmtId="0" fontId="8" fillId="0" borderId="13" xfId="12" applyFont="1" applyBorder="1"/>
    <xf numFmtId="0" fontId="50" fillId="0" borderId="13" xfId="12" applyFont="1" applyBorder="1" applyAlignment="1">
      <alignment horizontal="right"/>
    </xf>
    <xf numFmtId="0" fontId="73" fillId="0" borderId="21" xfId="12" applyFont="1" applyBorder="1" applyAlignment="1">
      <alignment horizontal="center" vertical="center"/>
    </xf>
    <xf numFmtId="0" fontId="73" fillId="0" borderId="21" xfId="12" applyFont="1" applyBorder="1" applyAlignment="1">
      <alignment horizontal="center" vertical="center" wrapText="1"/>
    </xf>
    <xf numFmtId="0" fontId="73" fillId="0" borderId="21" xfId="12" applyFont="1" applyBorder="1" applyAlignment="1">
      <alignment horizontal="right" vertical="center"/>
    </xf>
    <xf numFmtId="0" fontId="73" fillId="0" borderId="0" xfId="12" applyFont="1" applyAlignment="1">
      <alignment horizontal="center" vertical="center"/>
    </xf>
    <xf numFmtId="0" fontId="73" fillId="0" borderId="0" xfId="12" applyFont="1" applyAlignment="1">
      <alignment vertical="center"/>
    </xf>
    <xf numFmtId="0" fontId="73" fillId="0" borderId="0" xfId="12" applyFont="1" applyAlignment="1">
      <alignment horizontal="center" vertical="center" wrapText="1"/>
    </xf>
    <xf numFmtId="0" fontId="73" fillId="0" borderId="0" xfId="12" applyFont="1" applyAlignment="1">
      <alignment horizontal="right" vertical="center"/>
    </xf>
    <xf numFmtId="0" fontId="73" fillId="0" borderId="0" xfId="12" applyFont="1" applyAlignment="1">
      <alignment horizontal="center" vertical="top"/>
    </xf>
    <xf numFmtId="0" fontId="73" fillId="0" borderId="0" xfId="12" applyFont="1" applyAlignment="1">
      <alignment vertical="top"/>
    </xf>
    <xf numFmtId="0" fontId="8" fillId="0" borderId="0" xfId="12" applyFont="1" applyAlignment="1">
      <alignment vertical="top"/>
    </xf>
    <xf numFmtId="0" fontId="8" fillId="0" borderId="0" xfId="12" applyFont="1" applyAlignment="1">
      <alignment horizontal="center" vertical="top"/>
    </xf>
    <xf numFmtId="1" fontId="8" fillId="0" borderId="0" xfId="12" applyNumberFormat="1" applyFont="1" applyAlignment="1">
      <alignment vertical="top"/>
    </xf>
    <xf numFmtId="9" fontId="8" fillId="0" borderId="0" xfId="12" applyNumberFormat="1" applyFont="1" applyAlignment="1">
      <alignment vertical="top"/>
    </xf>
    <xf numFmtId="1" fontId="8" fillId="0" borderId="0" xfId="12" applyNumberFormat="1" applyFont="1" applyAlignment="1">
      <alignment horizontal="right" vertical="top"/>
    </xf>
    <xf numFmtId="2" fontId="8" fillId="0" borderId="0" xfId="12" applyNumberFormat="1" applyFont="1" applyAlignment="1">
      <alignment vertical="top"/>
    </xf>
    <xf numFmtId="0" fontId="8" fillId="0" borderId="0" xfId="12" applyFont="1" applyAlignment="1">
      <alignment horizontal="center" vertical="top" wrapText="1"/>
    </xf>
    <xf numFmtId="10" fontId="8" fillId="0" borderId="0" xfId="12" applyNumberFormat="1" applyFont="1" applyAlignment="1">
      <alignment vertical="top"/>
    </xf>
    <xf numFmtId="0" fontId="8" fillId="0" borderId="0" xfId="12" applyFont="1" applyAlignment="1">
      <alignment horizontal="right" vertical="top"/>
    </xf>
    <xf numFmtId="0" fontId="73" fillId="0" borderId="21" xfId="12" applyFont="1" applyBorder="1" applyAlignment="1">
      <alignment vertical="top" wrapText="1"/>
    </xf>
    <xf numFmtId="0" fontId="73" fillId="0" borderId="21" xfId="12" applyFont="1" applyBorder="1" applyAlignment="1">
      <alignment vertical="top"/>
    </xf>
    <xf numFmtId="2" fontId="73" fillId="0" borderId="21" xfId="12" applyNumberFormat="1" applyFont="1" applyBorder="1" applyAlignment="1">
      <alignment vertical="top"/>
    </xf>
    <xf numFmtId="0" fontId="74" fillId="0" borderId="0" xfId="12" applyFont="1"/>
    <xf numFmtId="0" fontId="71" fillId="0" borderId="0" xfId="12" applyFont="1"/>
    <xf numFmtId="0" fontId="71" fillId="0" borderId="1" xfId="12" applyFont="1" applyBorder="1" applyAlignment="1">
      <alignment horizontal="center"/>
    </xf>
    <xf numFmtId="2" fontId="71" fillId="0" borderId="1" xfId="12" applyNumberFormat="1" applyFont="1" applyBorder="1"/>
    <xf numFmtId="0" fontId="8" fillId="0" borderId="0" xfId="12" applyFont="1" applyAlignment="1">
      <alignment horizontal="center"/>
    </xf>
    <xf numFmtId="9" fontId="54" fillId="7" borderId="2" xfId="0" applyNumberFormat="1" applyFont="1" applyFill="1" applyBorder="1"/>
    <xf numFmtId="170" fontId="0" fillId="0" borderId="1" xfId="1" applyNumberFormat="1" applyFont="1" applyFill="1" applyBorder="1"/>
    <xf numFmtId="0" fontId="0" fillId="0" borderId="0" xfId="0" applyAlignment="1">
      <alignment horizontal="justify"/>
    </xf>
    <xf numFmtId="1" fontId="27" fillId="7" borderId="1" xfId="0" applyNumberFormat="1" applyFont="1" applyFill="1" applyBorder="1"/>
    <xf numFmtId="1" fontId="28" fillId="6" borderId="1" xfId="2" applyNumberFormat="1" applyFont="1" applyFill="1" applyBorder="1"/>
    <xf numFmtId="1" fontId="28" fillId="0" borderId="1" xfId="2" applyNumberFormat="1" applyFont="1" applyBorder="1"/>
    <xf numFmtId="1" fontId="27" fillId="0" borderId="1" xfId="2" applyNumberFormat="1" applyFont="1" applyBorder="1"/>
    <xf numFmtId="1" fontId="27" fillId="0" borderId="0" xfId="2" applyNumberFormat="1" applyFont="1" applyBorder="1"/>
    <xf numFmtId="0" fontId="0" fillId="0" borderId="0" xfId="0" applyAlignment="1">
      <alignment horizontal="justify" vertical="justify"/>
    </xf>
    <xf numFmtId="0" fontId="132" fillId="0" borderId="0" xfId="0" applyFont="1"/>
    <xf numFmtId="0" fontId="2" fillId="0" borderId="0" xfId="0" applyFont="1" applyAlignment="1">
      <alignment horizontal="justify"/>
    </xf>
    <xf numFmtId="0" fontId="90" fillId="0" borderId="13" xfId="0" applyFont="1" applyBorder="1" applyAlignment="1">
      <alignment horizontal="center"/>
    </xf>
    <xf numFmtId="9" fontId="72" fillId="0" borderId="0" xfId="0" applyNumberFormat="1" applyFont="1" applyAlignment="1" applyProtection="1">
      <alignment horizontal="center"/>
      <protection hidden="1"/>
    </xf>
    <xf numFmtId="175" fontId="84" fillId="0" borderId="0" xfId="0" applyNumberFormat="1" applyFont="1" applyAlignment="1" applyProtection="1">
      <alignment horizontal="center"/>
      <protection hidden="1"/>
    </xf>
    <xf numFmtId="0" fontId="0" fillId="0" borderId="0" xfId="0" applyAlignment="1">
      <alignment horizontal="left" vertical="center" wrapText="1"/>
    </xf>
    <xf numFmtId="0" fontId="60" fillId="0" borderId="29" xfId="0" applyFont="1" applyBorder="1" applyAlignment="1">
      <alignment vertical="center" wrapText="1"/>
    </xf>
    <xf numFmtId="0" fontId="0" fillId="0" borderId="29" xfId="0" applyBorder="1" applyAlignment="1">
      <alignment vertical="center" wrapText="1"/>
    </xf>
    <xf numFmtId="0" fontId="54" fillId="5" borderId="20" xfId="0" applyFont="1" applyFill="1" applyBorder="1" applyAlignment="1">
      <alignment horizontal="left" vertical="center"/>
    </xf>
    <xf numFmtId="0" fontId="54" fillId="5" borderId="14" xfId="0" applyFont="1" applyFill="1" applyBorder="1" applyAlignment="1">
      <alignment horizontal="left" vertical="center"/>
    </xf>
    <xf numFmtId="0" fontId="0" fillId="0" borderId="0" xfId="0" applyAlignment="1">
      <alignment horizontal="justify" vertical="center"/>
    </xf>
    <xf numFmtId="0" fontId="0" fillId="0" borderId="1" xfId="0" applyBorder="1" applyAlignment="1">
      <alignment horizontal="justify" vertical="center"/>
    </xf>
    <xf numFmtId="0" fontId="0" fillId="0" borderId="1" xfId="0" applyBorder="1" applyAlignment="1">
      <alignment wrapText="1"/>
    </xf>
    <xf numFmtId="0" fontId="0" fillId="0" borderId="0" xfId="0" applyAlignment="1">
      <alignment horizontal="center" vertical="top"/>
    </xf>
    <xf numFmtId="169" fontId="28" fillId="0" borderId="11" xfId="2" applyNumberFormat="1" applyFont="1" applyFill="1" applyBorder="1"/>
    <xf numFmtId="169" fontId="27" fillId="0" borderId="1" xfId="2" applyNumberFormat="1" applyFont="1" applyBorder="1" applyAlignment="1">
      <alignment wrapText="1"/>
    </xf>
    <xf numFmtId="164" fontId="27" fillId="0" borderId="11" xfId="2" applyFont="1" applyFill="1" applyBorder="1"/>
    <xf numFmtId="1" fontId="0" fillId="0" borderId="1" xfId="0" applyNumberFormat="1" applyBorder="1"/>
    <xf numFmtId="0" fontId="9" fillId="0" borderId="0" xfId="0" applyFont="1" applyAlignment="1">
      <alignment horizontal="center"/>
    </xf>
    <xf numFmtId="0" fontId="9" fillId="16" borderId="1" xfId="0" applyFont="1" applyFill="1" applyBorder="1" applyAlignment="1">
      <alignment horizontal="center"/>
    </xf>
    <xf numFmtId="0" fontId="9" fillId="0" borderId="1" xfId="0" applyFont="1" applyBorder="1" applyAlignment="1">
      <alignment horizontal="center"/>
    </xf>
    <xf numFmtId="0" fontId="2" fillId="16" borderId="1" xfId="0" applyFont="1" applyFill="1" applyBorder="1" applyAlignment="1">
      <alignment horizontal="center" vertical="center"/>
    </xf>
    <xf numFmtId="0" fontId="2" fillId="16" borderId="1" xfId="0" applyFont="1" applyFill="1" applyBorder="1" applyAlignment="1">
      <alignment vertical="center"/>
    </xf>
    <xf numFmtId="167" fontId="0" fillId="0" borderId="0" xfId="1" applyNumberFormat="1" applyFont="1"/>
    <xf numFmtId="0" fontId="43" fillId="5" borderId="0" xfId="0" applyFont="1" applyFill="1" applyAlignment="1">
      <alignment horizontal="center" vertical="center" wrapText="1"/>
    </xf>
    <xf numFmtId="0" fontId="44" fillId="0" borderId="0" xfId="0" applyFont="1" applyAlignment="1">
      <alignment horizontal="center" vertical="center" wrapText="1"/>
    </xf>
    <xf numFmtId="0" fontId="70" fillId="0" borderId="0" xfId="0" applyFont="1" applyAlignment="1">
      <alignment horizontal="center" vertical="center" wrapText="1"/>
    </xf>
    <xf numFmtId="0" fontId="41" fillId="0" borderId="15" xfId="0" applyFont="1" applyBorder="1" applyAlignment="1">
      <alignment horizontal="center" vertical="center" wrapText="1"/>
    </xf>
    <xf numFmtId="169" fontId="4" fillId="0" borderId="1" xfId="2" applyNumberFormat="1" applyFont="1" applyBorder="1"/>
    <xf numFmtId="182" fontId="27" fillId="0" borderId="0" xfId="0" applyNumberFormat="1" applyFont="1"/>
    <xf numFmtId="9" fontId="54" fillId="7" borderId="0" xfId="0" applyNumberFormat="1" applyFont="1" applyFill="1"/>
    <xf numFmtId="0" fontId="54" fillId="5" borderId="0" xfId="0" applyFont="1" applyFill="1" applyAlignment="1">
      <alignment horizontal="center"/>
    </xf>
    <xf numFmtId="0" fontId="37" fillId="0" borderId="0" xfId="0" applyFont="1" applyAlignment="1">
      <alignment horizontal="center"/>
    </xf>
    <xf numFmtId="9" fontId="54" fillId="7" borderId="0" xfId="0" applyNumberFormat="1" applyFont="1" applyFill="1" applyAlignment="1">
      <alignment horizontal="center"/>
    </xf>
    <xf numFmtId="0" fontId="15" fillId="0" borderId="0" xfId="0" applyFont="1" applyAlignment="1">
      <alignment horizontal="center"/>
    </xf>
    <xf numFmtId="170" fontId="58" fillId="7" borderId="0" xfId="0" applyNumberFormat="1" applyFont="1" applyFill="1"/>
    <xf numFmtId="175" fontId="0" fillId="0" borderId="1" xfId="0" applyNumberFormat="1" applyBorder="1"/>
    <xf numFmtId="0" fontId="24" fillId="0" borderId="1" xfId="0" applyFont="1" applyBorder="1" applyAlignment="1">
      <alignment horizontal="center" vertical="center" wrapText="1"/>
    </xf>
    <xf numFmtId="0" fontId="24" fillId="0" borderId="15" xfId="0" applyFont="1" applyBorder="1" applyAlignment="1">
      <alignment vertical="center" wrapText="1"/>
    </xf>
    <xf numFmtId="0" fontId="24" fillId="0" borderId="16" xfId="0" applyFont="1" applyBorder="1" applyAlignment="1">
      <alignment vertical="center" wrapText="1"/>
    </xf>
    <xf numFmtId="167" fontId="24" fillId="0" borderId="1" xfId="3" applyNumberFormat="1" applyFont="1" applyFill="1" applyBorder="1" applyAlignment="1">
      <alignment horizontal="center" vertical="center" wrapText="1"/>
    </xf>
    <xf numFmtId="167" fontId="24" fillId="0" borderId="1" xfId="3" applyNumberFormat="1" applyFont="1" applyFill="1" applyBorder="1" applyAlignment="1">
      <alignment horizontal="right" vertical="center" wrapText="1"/>
    </xf>
    <xf numFmtId="0" fontId="6" fillId="0" borderId="1" xfId="0" applyFont="1" applyBorder="1" applyAlignment="1">
      <alignment vertical="center" wrapText="1"/>
    </xf>
    <xf numFmtId="164" fontId="0" fillId="0" borderId="0" xfId="2" applyFont="1"/>
    <xf numFmtId="164" fontId="4" fillId="4" borderId="1" xfId="3" applyNumberFormat="1" applyFont="1" applyFill="1" applyBorder="1" applyAlignment="1">
      <alignment wrapText="1"/>
    </xf>
    <xf numFmtId="1" fontId="2" fillId="0" borderId="1" xfId="0" applyNumberFormat="1" applyFont="1" applyBorder="1"/>
    <xf numFmtId="1" fontId="27" fillId="6" borderId="0" xfId="0" applyNumberFormat="1" applyFont="1" applyFill="1"/>
    <xf numFmtId="1" fontId="27" fillId="7" borderId="0" xfId="0" applyNumberFormat="1" applyFont="1" applyFill="1"/>
    <xf numFmtId="10" fontId="70" fillId="0" borderId="1" xfId="1" applyNumberFormat="1" applyFont="1" applyBorder="1" applyAlignment="1">
      <alignment horizontal="center" vertical="center" wrapText="1"/>
    </xf>
    <xf numFmtId="2" fontId="44" fillId="0" borderId="1" xfId="0" applyNumberFormat="1" applyFont="1" applyBorder="1" applyAlignment="1">
      <alignment horizontal="center" vertical="center" wrapText="1"/>
    </xf>
    <xf numFmtId="167" fontId="2" fillId="0" borderId="0" xfId="0" applyNumberFormat="1" applyFont="1" applyAlignment="1">
      <alignment horizontal="center"/>
    </xf>
    <xf numFmtId="3" fontId="0" fillId="0" borderId="0" xfId="0" applyNumberFormat="1"/>
    <xf numFmtId="3" fontId="13" fillId="0" borderId="10" xfId="0" applyNumberFormat="1" applyFont="1" applyBorder="1" applyAlignment="1">
      <alignment horizontal="right" vertical="center"/>
    </xf>
    <xf numFmtId="0" fontId="12" fillId="0" borderId="10" xfId="0" applyFont="1" applyBorder="1" applyAlignment="1">
      <alignment vertical="center"/>
    </xf>
    <xf numFmtId="3" fontId="12" fillId="0" borderId="10" xfId="0" applyNumberFormat="1" applyFont="1" applyBorder="1" applyAlignment="1">
      <alignment horizontal="right" vertical="center"/>
    </xf>
    <xf numFmtId="0" fontId="11" fillId="5" borderId="8" xfId="0" applyFont="1" applyFill="1" applyBorder="1" applyAlignment="1">
      <alignment vertical="center"/>
    </xf>
    <xf numFmtId="0" fontId="11" fillId="5" borderId="4" xfId="0" applyFont="1" applyFill="1" applyBorder="1" applyAlignment="1">
      <alignment vertical="center"/>
    </xf>
    <xf numFmtId="0" fontId="13" fillId="0" borderId="9" xfId="0" applyFont="1" applyBorder="1" applyAlignment="1">
      <alignment vertical="center"/>
    </xf>
    <xf numFmtId="0" fontId="13" fillId="0" borderId="10" xfId="0" applyFont="1" applyBorder="1" applyAlignment="1">
      <alignment vertical="center"/>
    </xf>
    <xf numFmtId="0" fontId="12" fillId="0" borderId="9" xfId="0" applyFont="1" applyBorder="1" applyAlignment="1">
      <alignment horizontal="right" vertical="center"/>
    </xf>
    <xf numFmtId="0" fontId="12" fillId="0" borderId="10" xfId="0" applyFont="1" applyBorder="1" applyAlignment="1">
      <alignment horizontal="right" vertical="center"/>
    </xf>
    <xf numFmtId="10" fontId="12" fillId="0" borderId="10" xfId="0" applyNumberFormat="1" applyFont="1" applyBorder="1" applyAlignment="1">
      <alignment horizontal="right" vertical="center"/>
    </xf>
    <xf numFmtId="0" fontId="12" fillId="0" borderId="24" xfId="0" applyFont="1" applyBorder="1" applyAlignment="1">
      <alignment vertical="center"/>
    </xf>
    <xf numFmtId="3" fontId="12" fillId="0" borderId="24" xfId="0" applyNumberFormat="1" applyFont="1" applyBorder="1" applyAlignment="1">
      <alignment vertical="center"/>
    </xf>
    <xf numFmtId="0" fontId="12" fillId="0" borderId="1" xfId="0" applyFont="1" applyBorder="1" applyAlignment="1">
      <alignment horizontal="right" vertical="center"/>
    </xf>
    <xf numFmtId="0" fontId="12" fillId="0" borderId="1" xfId="0" applyFont="1" applyBorder="1" applyAlignment="1">
      <alignment vertical="center"/>
    </xf>
    <xf numFmtId="3" fontId="12" fillId="0" borderId="1" xfId="0" applyNumberFormat="1" applyFont="1" applyBorder="1" applyAlignment="1">
      <alignment horizontal="right" vertical="center"/>
    </xf>
    <xf numFmtId="0" fontId="12" fillId="0" borderId="10" xfId="0" applyFont="1" applyBorder="1" applyAlignment="1">
      <alignment vertical="center" wrapText="1"/>
    </xf>
    <xf numFmtId="0" fontId="137" fillId="0" borderId="10" xfId="0" applyFont="1" applyBorder="1"/>
    <xf numFmtId="9" fontId="12" fillId="0" borderId="26" xfId="1" applyFont="1" applyBorder="1" applyAlignment="1">
      <alignment vertical="center"/>
    </xf>
    <xf numFmtId="9" fontId="12" fillId="0" borderId="9" xfId="1" applyFont="1" applyBorder="1" applyAlignment="1">
      <alignment vertical="center"/>
    </xf>
    <xf numFmtId="169" fontId="12" fillId="0" borderId="10" xfId="2" applyNumberFormat="1" applyFont="1" applyBorder="1" applyAlignment="1">
      <alignment vertical="center"/>
    </xf>
    <xf numFmtId="9" fontId="12" fillId="0" borderId="10" xfId="0" applyNumberFormat="1" applyFont="1" applyBorder="1" applyAlignment="1">
      <alignment vertical="center"/>
    </xf>
    <xf numFmtId="171" fontId="27" fillId="0" borderId="0" xfId="0" applyNumberFormat="1" applyFont="1"/>
    <xf numFmtId="0" fontId="41" fillId="0" borderId="1" xfId="0" applyFont="1" applyBorder="1" applyAlignment="1">
      <alignment horizontal="left" vertical="center" wrapText="1"/>
    </xf>
    <xf numFmtId="9" fontId="12" fillId="0" borderId="19" xfId="1" applyFont="1" applyBorder="1" applyAlignment="1">
      <alignment vertical="center"/>
    </xf>
    <xf numFmtId="171" fontId="27" fillId="0" borderId="1" xfId="2" applyNumberFormat="1" applyFont="1" applyBorder="1"/>
    <xf numFmtId="171" fontId="27" fillId="0" borderId="1" xfId="2" applyNumberFormat="1" applyFont="1" applyFill="1" applyBorder="1"/>
    <xf numFmtId="1" fontId="0" fillId="0" borderId="2" xfId="0" applyNumberFormat="1" applyBorder="1"/>
    <xf numFmtId="166" fontId="0" fillId="0" borderId="1" xfId="0" applyNumberFormat="1" applyBorder="1"/>
    <xf numFmtId="0" fontId="42" fillId="0" borderId="1" xfId="0" applyFont="1" applyBorder="1" applyAlignment="1">
      <alignment horizontal="left" vertical="center" wrapText="1"/>
    </xf>
    <xf numFmtId="0" fontId="11" fillId="5" borderId="1" xfId="0" applyFont="1" applyFill="1" applyBorder="1" applyAlignment="1">
      <alignment vertical="center"/>
    </xf>
    <xf numFmtId="0" fontId="13" fillId="0" borderId="1" xfId="0" applyFont="1" applyBorder="1" applyAlignment="1">
      <alignment horizontal="center" vertical="center"/>
    </xf>
    <xf numFmtId="0" fontId="13" fillId="0" borderId="1" xfId="0" applyFont="1" applyBorder="1" applyAlignment="1">
      <alignment vertical="center"/>
    </xf>
    <xf numFmtId="10" fontId="12" fillId="0" borderId="1" xfId="0" applyNumberFormat="1" applyFont="1" applyBorder="1" applyAlignment="1">
      <alignment horizontal="right" vertical="center"/>
    </xf>
    <xf numFmtId="3" fontId="12" fillId="0" borderId="1" xfId="0" applyNumberFormat="1" applyFont="1" applyBorder="1" applyAlignment="1">
      <alignment vertical="center"/>
    </xf>
    <xf numFmtId="0" fontId="12" fillId="0" borderId="1" xfId="0" applyFont="1" applyBorder="1" applyAlignment="1">
      <alignment horizontal="center" vertical="center"/>
    </xf>
    <xf numFmtId="0" fontId="137" fillId="0" borderId="1" xfId="0" applyFont="1" applyBorder="1"/>
    <xf numFmtId="3" fontId="13" fillId="0" borderId="1" xfId="0" applyNumberFormat="1" applyFont="1" applyBorder="1" applyAlignment="1">
      <alignment horizontal="right" vertical="center"/>
    </xf>
    <xf numFmtId="10" fontId="12" fillId="0" borderId="1" xfId="0" applyNumberFormat="1" applyFont="1" applyBorder="1" applyAlignment="1">
      <alignment vertical="center"/>
    </xf>
    <xf numFmtId="0" fontId="2" fillId="0" borderId="1" xfId="0" applyFont="1" applyBorder="1" applyAlignment="1">
      <alignment horizontal="center" vertical="center" wrapText="1"/>
    </xf>
    <xf numFmtId="0" fontId="26" fillId="0" borderId="0" xfId="0" applyFont="1" applyAlignment="1">
      <alignment horizontal="center"/>
    </xf>
    <xf numFmtId="0" fontId="26" fillId="0" borderId="13" xfId="0" applyFont="1" applyBorder="1" applyAlignment="1">
      <alignment horizontal="center"/>
    </xf>
    <xf numFmtId="0" fontId="0" fillId="0" borderId="20" xfId="0" applyBorder="1" applyAlignment="1">
      <alignment horizontal="center" vertical="center"/>
    </xf>
    <xf numFmtId="0" fontId="0" fillId="0" borderId="2" xfId="0" applyBorder="1" applyAlignment="1">
      <alignment horizontal="center" vertical="center"/>
    </xf>
    <xf numFmtId="0" fontId="0" fillId="0" borderId="14" xfId="0" applyBorder="1" applyAlignment="1">
      <alignment horizontal="center" vertical="center"/>
    </xf>
    <xf numFmtId="0" fontId="0" fillId="0" borderId="0" xfId="0" applyAlignment="1">
      <alignment horizontal="center"/>
    </xf>
    <xf numFmtId="0" fontId="72" fillId="0" borderId="11" xfId="0" applyFont="1" applyBorder="1" applyAlignment="1" applyProtection="1">
      <alignment horizontal="left" vertical="top" wrapText="1"/>
      <protection hidden="1"/>
    </xf>
    <xf numFmtId="0" fontId="72" fillId="0" borderId="0" xfId="0" applyFont="1" applyAlignment="1" applyProtection="1">
      <alignment horizontal="left" vertical="top" wrapText="1"/>
      <protection hidden="1"/>
    </xf>
    <xf numFmtId="0" fontId="84" fillId="0" borderId="0" xfId="0" applyFont="1" applyAlignment="1" applyProtection="1">
      <alignment horizontal="center" wrapText="1"/>
      <protection hidden="1"/>
    </xf>
    <xf numFmtId="0" fontId="84" fillId="0" borderId="0" xfId="0" applyFont="1" applyAlignment="1" applyProtection="1">
      <alignment horizontal="center"/>
      <protection hidden="1"/>
    </xf>
    <xf numFmtId="0" fontId="72" fillId="0" borderId="0" xfId="0" applyFont="1" applyAlignment="1" applyProtection="1">
      <alignment horizontal="center"/>
      <protection hidden="1"/>
    </xf>
    <xf numFmtId="0" fontId="72" fillId="0" borderId="11" xfId="0" applyFont="1" applyBorder="1" applyAlignment="1" applyProtection="1">
      <alignment horizontal="left" vertical="top" wrapText="1" shrinkToFit="1"/>
      <protection hidden="1"/>
    </xf>
    <xf numFmtId="0" fontId="72" fillId="0" borderId="0" xfId="0" applyFont="1" applyAlignment="1" applyProtection="1">
      <alignment horizontal="left" vertical="top" wrapText="1" shrinkToFit="1"/>
      <protection hidden="1"/>
    </xf>
    <xf numFmtId="0" fontId="72" fillId="0" borderId="11" xfId="0" applyFont="1" applyBorder="1" applyAlignment="1" applyProtection="1">
      <alignment horizontal="left"/>
      <protection hidden="1"/>
    </xf>
    <xf numFmtId="0" fontId="72" fillId="0" borderId="0" xfId="0" applyFont="1" applyAlignment="1" applyProtection="1">
      <alignment horizontal="left"/>
      <protection hidden="1"/>
    </xf>
    <xf numFmtId="0" fontId="89" fillId="0" borderId="0" xfId="0" applyFont="1" applyAlignment="1" applyProtection="1">
      <alignment horizontal="center"/>
      <protection hidden="1"/>
    </xf>
    <xf numFmtId="0" fontId="84" fillId="0" borderId="11" xfId="0" applyFont="1" applyBorder="1" applyAlignment="1" applyProtection="1">
      <alignment horizontal="center" vertical="top" wrapText="1"/>
      <protection hidden="1"/>
    </xf>
    <xf numFmtId="0" fontId="84" fillId="0" borderId="0" xfId="0" applyFont="1" applyAlignment="1" applyProtection="1">
      <alignment horizontal="center" vertical="top" wrapText="1"/>
      <protection hidden="1"/>
    </xf>
    <xf numFmtId="0" fontId="84" fillId="0" borderId="22" xfId="0" applyFont="1" applyBorder="1" applyAlignment="1" applyProtection="1">
      <alignment horizontal="center" vertical="top" wrapText="1"/>
      <protection hidden="1"/>
    </xf>
    <xf numFmtId="0" fontId="84" fillId="0" borderId="0" xfId="0" applyFont="1" applyAlignment="1" applyProtection="1">
      <alignment horizontal="left" vertical="center"/>
      <protection hidden="1"/>
    </xf>
    <xf numFmtId="0" fontId="72" fillId="0" borderId="28" xfId="0" applyFont="1" applyBorder="1" applyAlignment="1" applyProtection="1">
      <alignment horizontal="left"/>
      <protection hidden="1"/>
    </xf>
    <xf numFmtId="0" fontId="72" fillId="0" borderId="29" xfId="0" applyFont="1" applyBorder="1" applyAlignment="1" applyProtection="1">
      <alignment horizontal="left"/>
      <protection hidden="1"/>
    </xf>
    <xf numFmtId="0" fontId="72" fillId="0" borderId="30" xfId="0" applyFont="1" applyBorder="1" applyAlignment="1" applyProtection="1">
      <alignment horizontal="left"/>
      <protection hidden="1"/>
    </xf>
    <xf numFmtId="49" fontId="83" fillId="0" borderId="0" xfId="0" applyNumberFormat="1" applyFont="1" applyAlignment="1" applyProtection="1">
      <alignment horizontal="center" vertical="top"/>
      <protection hidden="1"/>
    </xf>
    <xf numFmtId="2" fontId="72" fillId="0" borderId="28" xfId="0" applyNumberFormat="1" applyFont="1" applyBorder="1" applyAlignment="1" applyProtection="1">
      <alignment horizontal="left" vertical="top" wrapText="1" shrinkToFit="1"/>
      <protection hidden="1"/>
    </xf>
    <xf numFmtId="2" fontId="72" fillId="0" borderId="29" xfId="0" applyNumberFormat="1" applyFont="1" applyBorder="1" applyAlignment="1" applyProtection="1">
      <alignment horizontal="left" vertical="top" wrapText="1" shrinkToFit="1"/>
      <protection hidden="1"/>
    </xf>
    <xf numFmtId="0" fontId="127" fillId="0" borderId="0" xfId="0" applyFont="1" applyAlignment="1" applyProtection="1">
      <alignment horizontal="center" vertical="center" wrapText="1"/>
      <protection hidden="1"/>
    </xf>
    <xf numFmtId="0" fontId="126" fillId="13" borderId="0" xfId="0" applyFont="1" applyFill="1" applyAlignment="1" applyProtection="1">
      <alignment horizontal="center" vertical="center" wrapText="1"/>
      <protection hidden="1"/>
    </xf>
    <xf numFmtId="0" fontId="72" fillId="0" borderId="11" xfId="0" applyFont="1" applyBorder="1" applyAlignment="1" applyProtection="1">
      <alignment horizontal="left" vertical="center" wrapText="1"/>
      <protection hidden="1"/>
    </xf>
    <xf numFmtId="0" fontId="72" fillId="0" borderId="0" xfId="0" applyFont="1" applyAlignment="1" applyProtection="1">
      <alignment horizontal="left" vertical="center" wrapText="1"/>
      <protection hidden="1"/>
    </xf>
    <xf numFmtId="0" fontId="125" fillId="0" borderId="0" xfId="0" applyFont="1" applyAlignment="1" applyProtection="1">
      <alignment horizontal="center" vertical="center"/>
      <protection hidden="1"/>
    </xf>
    <xf numFmtId="0" fontId="128" fillId="13" borderId="28" xfId="0" applyFont="1" applyFill="1" applyBorder="1" applyAlignment="1" applyProtection="1">
      <alignment horizontal="center" vertical="center"/>
      <protection hidden="1"/>
    </xf>
    <xf numFmtId="0" fontId="128" fillId="13" borderId="30" xfId="0" applyFont="1" applyFill="1" applyBorder="1" applyAlignment="1" applyProtection="1">
      <alignment horizontal="center" vertical="center"/>
      <protection hidden="1"/>
    </xf>
    <xf numFmtId="0" fontId="128" fillId="13" borderId="11" xfId="0" applyFont="1" applyFill="1" applyBorder="1" applyAlignment="1" applyProtection="1">
      <alignment horizontal="center" vertical="center"/>
      <protection hidden="1"/>
    </xf>
    <xf numFmtId="0" fontId="128" fillId="13" borderId="22" xfId="0" applyFont="1" applyFill="1" applyBorder="1" applyAlignment="1" applyProtection="1">
      <alignment horizontal="center" vertical="center"/>
      <protection hidden="1"/>
    </xf>
    <xf numFmtId="0" fontId="128" fillId="13" borderId="12" xfId="0" applyFont="1" applyFill="1" applyBorder="1" applyAlignment="1" applyProtection="1">
      <alignment horizontal="center" vertical="center"/>
      <protection hidden="1"/>
    </xf>
    <xf numFmtId="0" fontId="128" fillId="13" borderId="31" xfId="0" applyFont="1" applyFill="1" applyBorder="1" applyAlignment="1" applyProtection="1">
      <alignment horizontal="center" vertical="center"/>
      <protection hidden="1"/>
    </xf>
    <xf numFmtId="0" fontId="84" fillId="0" borderId="11" xfId="0" applyFont="1" applyBorder="1" applyAlignment="1" applyProtection="1">
      <alignment horizontal="center"/>
      <protection hidden="1"/>
    </xf>
    <xf numFmtId="0" fontId="87" fillId="0" borderId="0" xfId="0" applyFont="1" applyAlignment="1" applyProtection="1">
      <alignment horizontal="center"/>
      <protection hidden="1"/>
    </xf>
    <xf numFmtId="0" fontId="88" fillId="0" borderId="0" xfId="0" applyFont="1" applyAlignment="1" applyProtection="1">
      <alignment horizontal="center"/>
      <protection hidden="1"/>
    </xf>
    <xf numFmtId="0" fontId="136" fillId="0" borderId="0" xfId="0" applyFont="1" applyAlignment="1">
      <alignment horizontal="center"/>
    </xf>
    <xf numFmtId="1" fontId="72" fillId="0" borderId="0" xfId="0" applyNumberFormat="1" applyFont="1" applyAlignment="1" applyProtection="1">
      <alignment horizontal="center"/>
      <protection hidden="1"/>
    </xf>
    <xf numFmtId="0" fontId="86" fillId="0" borderId="0" xfId="0" applyFont="1" applyAlignment="1" applyProtection="1">
      <alignment horizontal="left"/>
      <protection hidden="1"/>
    </xf>
    <xf numFmtId="0" fontId="72" fillId="0" borderId="0" xfId="0" applyFont="1" applyAlignment="1" applyProtection="1">
      <alignment horizontal="justify" vertical="top" wrapText="1" shrinkToFit="1"/>
      <protection hidden="1"/>
    </xf>
    <xf numFmtId="0" fontId="72" fillId="0" borderId="0" xfId="0" applyFont="1" applyAlignment="1" applyProtection="1">
      <alignment horizontal="justify" wrapText="1"/>
      <protection hidden="1"/>
    </xf>
    <xf numFmtId="0" fontId="72" fillId="0" borderId="0" xfId="0" applyFont="1" applyAlignment="1" applyProtection="1">
      <alignment horizontal="justify"/>
      <protection hidden="1"/>
    </xf>
    <xf numFmtId="49" fontId="72" fillId="0" borderId="0" xfId="0" applyNumberFormat="1" applyFont="1" applyAlignment="1" applyProtection="1">
      <alignment horizontal="left"/>
      <protection hidden="1"/>
    </xf>
    <xf numFmtId="0" fontId="84" fillId="0" borderId="0" xfId="0" applyFont="1" applyAlignment="1" applyProtection="1">
      <alignment horizontal="left"/>
      <protection hidden="1"/>
    </xf>
    <xf numFmtId="49" fontId="82" fillId="0" borderId="0" xfId="0" applyNumberFormat="1" applyFont="1" applyAlignment="1" applyProtection="1">
      <alignment horizontal="center" vertical="top"/>
      <protection hidden="1"/>
    </xf>
    <xf numFmtId="2" fontId="72" fillId="0" borderId="0" xfId="0" applyNumberFormat="1" applyFont="1" applyAlignment="1" applyProtection="1">
      <alignment horizontal="left" vertical="top" wrapText="1" shrinkToFit="1"/>
      <protection hidden="1"/>
    </xf>
    <xf numFmtId="0" fontId="0" fillId="0" borderId="0" xfId="0" applyAlignment="1">
      <alignment horizontal="justify" wrapText="1"/>
    </xf>
    <xf numFmtId="0" fontId="90" fillId="0" borderId="0" xfId="0" applyFont="1" applyAlignment="1">
      <alignment horizontal="center" wrapText="1"/>
    </xf>
    <xf numFmtId="0" fontId="0" fillId="0" borderId="0" xfId="0" applyAlignment="1">
      <alignment horizontal="center" wrapText="1"/>
    </xf>
    <xf numFmtId="178" fontId="0" fillId="0" borderId="1" xfId="0" applyNumberFormat="1" applyBorder="1" applyAlignment="1">
      <alignment horizontal="center" vertical="top"/>
    </xf>
    <xf numFmtId="0" fontId="0" fillId="0" borderId="1" xfId="0" applyBorder="1" applyAlignment="1">
      <alignment horizontal="center" vertical="top"/>
    </xf>
    <xf numFmtId="0" fontId="0" fillId="0" borderId="1" xfId="0" applyBorder="1" applyAlignment="1">
      <alignment horizontal="left" vertical="top"/>
    </xf>
    <xf numFmtId="0" fontId="0" fillId="0" borderId="15" xfId="0" applyBorder="1" applyAlignment="1">
      <alignment horizontal="center" vertical="top"/>
    </xf>
    <xf numFmtId="0" fontId="0" fillId="0" borderId="21" xfId="0" applyBorder="1" applyAlignment="1">
      <alignment horizontal="center" vertical="top"/>
    </xf>
    <xf numFmtId="0" fontId="0" fillId="0" borderId="16" xfId="0" applyBorder="1" applyAlignment="1">
      <alignment horizontal="center" vertical="top"/>
    </xf>
    <xf numFmtId="0" fontId="60" fillId="0" borderId="15" xfId="0" applyFont="1" applyBorder="1" applyAlignment="1">
      <alignment horizontal="center" vertical="top" wrapText="1"/>
    </xf>
    <xf numFmtId="0" fontId="60" fillId="0" borderId="21" xfId="0" applyFont="1" applyBorder="1" applyAlignment="1">
      <alignment horizontal="center" vertical="top" wrapText="1"/>
    </xf>
    <xf numFmtId="0" fontId="60" fillId="0" borderId="16" xfId="0" applyFont="1" applyBorder="1" applyAlignment="1">
      <alignment horizontal="center" vertical="top" wrapText="1"/>
    </xf>
    <xf numFmtId="0" fontId="0" fillId="0" borderId="1" xfId="0" applyBorder="1" applyAlignment="1">
      <alignment horizontal="center"/>
    </xf>
    <xf numFmtId="1" fontId="0" fillId="0" borderId="1" xfId="0" applyNumberFormat="1" applyBorder="1" applyAlignment="1">
      <alignment horizontal="right"/>
    </xf>
    <xf numFmtId="0" fontId="0" fillId="0" borderId="1" xfId="0" applyBorder="1" applyAlignment="1">
      <alignment horizontal="left"/>
    </xf>
    <xf numFmtId="178" fontId="0" fillId="0" borderId="1" xfId="0" applyNumberFormat="1" applyBorder="1" applyAlignment="1">
      <alignment horizontal="center"/>
    </xf>
    <xf numFmtId="0" fontId="0" fillId="0" borderId="15" xfId="0" applyBorder="1" applyAlignment="1">
      <alignment horizontal="left"/>
    </xf>
    <xf numFmtId="0" fontId="0" fillId="0" borderId="21" xfId="0" applyBorder="1" applyAlignment="1">
      <alignment horizontal="left"/>
    </xf>
    <xf numFmtId="0" fontId="0" fillId="0" borderId="16" xfId="0" applyBorder="1" applyAlignment="1">
      <alignment horizontal="left"/>
    </xf>
    <xf numFmtId="0" fontId="0" fillId="0" borderId="1" xfId="0" applyBorder="1"/>
    <xf numFmtId="0" fontId="2" fillId="0" borderId="1" xfId="0" applyFont="1" applyBorder="1" applyAlignment="1">
      <alignment horizontal="left"/>
    </xf>
    <xf numFmtId="0" fontId="0" fillId="0" borderId="1" xfId="0" applyBorder="1" applyAlignment="1">
      <alignment horizontal="right"/>
    </xf>
    <xf numFmtId="0" fontId="2" fillId="0" borderId="1" xfId="0" applyFont="1" applyBorder="1" applyAlignment="1">
      <alignment horizontal="right"/>
    </xf>
    <xf numFmtId="178" fontId="0" fillId="0" borderId="1" xfId="0" applyNumberFormat="1" applyBorder="1"/>
    <xf numFmtId="178" fontId="0" fillId="0" borderId="15" xfId="0" applyNumberFormat="1" applyBorder="1" applyAlignment="1">
      <alignment horizontal="center"/>
    </xf>
    <xf numFmtId="178" fontId="0" fillId="0" borderId="16" xfId="0" applyNumberFormat="1" applyBorder="1" applyAlignment="1">
      <alignment horizontal="center"/>
    </xf>
    <xf numFmtId="0" fontId="0" fillId="0" borderId="1" xfId="0" applyBorder="1" applyAlignment="1">
      <alignment horizontal="left" vertical="top" wrapText="1"/>
    </xf>
    <xf numFmtId="0" fontId="0" fillId="0" borderId="0" xfId="0" applyAlignment="1">
      <alignment horizontal="left" wrapText="1"/>
    </xf>
    <xf numFmtId="0" fontId="2" fillId="0" borderId="0" xfId="0" applyFont="1" applyAlignment="1">
      <alignment horizontal="left" wrapText="1"/>
    </xf>
    <xf numFmtId="0" fontId="0" fillId="0" borderId="0" xfId="0" applyAlignment="1">
      <alignment horizontal="left"/>
    </xf>
    <xf numFmtId="0" fontId="129" fillId="0" borderId="1" xfId="0" applyFont="1" applyBorder="1" applyAlignment="1">
      <alignment horizontal="center" vertical="top" wrapText="1"/>
    </xf>
    <xf numFmtId="0" fontId="16" fillId="0" borderId="1" xfId="8" applyBorder="1" applyAlignment="1" applyProtection="1">
      <alignment horizontal="center" vertical="top" wrapText="1"/>
    </xf>
    <xf numFmtId="0" fontId="0" fillId="0" borderId="1" xfId="0" applyBorder="1" applyAlignment="1">
      <alignment horizontal="left" vertical="center"/>
    </xf>
    <xf numFmtId="0" fontId="0" fillId="0" borderId="1" xfId="0" applyBorder="1" applyAlignment="1">
      <alignment horizontal="left" wrapText="1"/>
    </xf>
    <xf numFmtId="1" fontId="129" fillId="0" borderId="1" xfId="0" applyNumberFormat="1" applyFont="1" applyBorder="1" applyAlignment="1">
      <alignment horizontal="center" vertical="top" wrapText="1"/>
    </xf>
    <xf numFmtId="0" fontId="0" fillId="0" borderId="11" xfId="0" applyBorder="1" applyAlignment="1">
      <alignment horizontal="center" vertical="top" wrapText="1"/>
    </xf>
    <xf numFmtId="0" fontId="0" fillId="0" borderId="0" xfId="0" applyAlignment="1">
      <alignment horizontal="center" vertical="top" wrapText="1"/>
    </xf>
    <xf numFmtId="0" fontId="0" fillId="0" borderId="22" xfId="0" applyBorder="1" applyAlignment="1">
      <alignment horizontal="center" vertical="top" wrapText="1"/>
    </xf>
    <xf numFmtId="0" fontId="0" fillId="0" borderId="15" xfId="0" applyBorder="1" applyAlignment="1">
      <alignment horizontal="center"/>
    </xf>
    <xf numFmtId="0" fontId="0" fillId="0" borderId="21" xfId="0" applyBorder="1" applyAlignment="1">
      <alignment horizontal="center"/>
    </xf>
    <xf numFmtId="0" fontId="0" fillId="0" borderId="16" xfId="0" applyBorder="1" applyAlignment="1">
      <alignment horizontal="center"/>
    </xf>
    <xf numFmtId="178" fontId="0" fillId="0" borderId="21" xfId="0" applyNumberFormat="1" applyBorder="1" applyAlignment="1">
      <alignment horizontal="center"/>
    </xf>
    <xf numFmtId="0" fontId="60" fillId="0" borderId="1" xfId="0" applyFont="1" applyBorder="1" applyAlignment="1">
      <alignment horizontal="left"/>
    </xf>
    <xf numFmtId="2" fontId="0" fillId="0" borderId="1" xfId="0" applyNumberFormat="1" applyBorder="1" applyAlignment="1">
      <alignment horizontal="right"/>
    </xf>
    <xf numFmtId="180" fontId="0" fillId="0" borderId="1" xfId="0" applyNumberFormat="1" applyBorder="1" applyAlignment="1">
      <alignment horizontal="center"/>
    </xf>
    <xf numFmtId="0" fontId="2" fillId="0" borderId="11" xfId="0" applyFont="1" applyBorder="1" applyAlignment="1">
      <alignment horizontal="left" vertical="top" wrapText="1"/>
    </xf>
    <xf numFmtId="0" fontId="2" fillId="0" borderId="0" xfId="0" applyFont="1" applyAlignment="1">
      <alignment horizontal="left" vertical="top" wrapText="1"/>
    </xf>
    <xf numFmtId="0" fontId="0" fillId="0" borderId="22" xfId="0" applyBorder="1" applyAlignment="1">
      <alignment horizontal="center"/>
    </xf>
    <xf numFmtId="0" fontId="0" fillId="0" borderId="2" xfId="0" applyBorder="1" applyAlignment="1">
      <alignment horizontal="center"/>
    </xf>
    <xf numFmtId="0" fontId="0" fillId="0" borderId="11" xfId="0" applyBorder="1" applyAlignment="1">
      <alignment horizontal="center"/>
    </xf>
    <xf numFmtId="0" fontId="0" fillId="0" borderId="28" xfId="0" applyBorder="1" applyAlignment="1">
      <alignment horizontal="center" vertical="top"/>
    </xf>
    <xf numFmtId="0" fontId="0" fillId="0" borderId="30" xfId="0" applyBorder="1" applyAlignment="1">
      <alignment horizontal="center" vertical="top"/>
    </xf>
    <xf numFmtId="0" fontId="0" fillId="0" borderId="12" xfId="0" applyBorder="1" applyAlignment="1">
      <alignment horizontal="center" vertical="top"/>
    </xf>
    <xf numFmtId="0" fontId="0" fillId="0" borderId="31" xfId="0" applyBorder="1" applyAlignment="1">
      <alignment horizontal="center" vertical="top"/>
    </xf>
    <xf numFmtId="0" fontId="0" fillId="0" borderId="28" xfId="0" applyBorder="1" applyAlignment="1">
      <alignment horizontal="center" vertical="top" wrapText="1"/>
    </xf>
    <xf numFmtId="0" fontId="0" fillId="0" borderId="29" xfId="0" applyBorder="1" applyAlignment="1">
      <alignment horizontal="center" vertical="top"/>
    </xf>
    <xf numFmtId="0" fontId="0" fillId="0" borderId="13" xfId="0" applyBorder="1" applyAlignment="1">
      <alignment horizontal="center" vertical="top"/>
    </xf>
    <xf numFmtId="0" fontId="0" fillId="0" borderId="29" xfId="0" applyBorder="1" applyAlignment="1">
      <alignment horizontal="center" vertical="top" wrapText="1"/>
    </xf>
    <xf numFmtId="0" fontId="0" fillId="0" borderId="30"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31" xfId="0" applyBorder="1" applyAlignment="1">
      <alignment horizontal="center" vertical="top" wrapText="1"/>
    </xf>
    <xf numFmtId="0" fontId="0" fillId="0" borderId="1" xfId="0" applyBorder="1" applyAlignment="1">
      <alignment horizontal="center" vertical="top" wrapText="1"/>
    </xf>
    <xf numFmtId="0" fontId="2" fillId="0" borderId="15" xfId="0" applyFont="1" applyBorder="1" applyAlignment="1">
      <alignment horizontal="left"/>
    </xf>
    <xf numFmtId="0" fontId="2" fillId="0" borderId="21" xfId="0" applyFont="1" applyBorder="1" applyAlignment="1">
      <alignment horizontal="left"/>
    </xf>
    <xf numFmtId="0" fontId="2" fillId="0" borderId="16" xfId="0" applyFont="1" applyBorder="1" applyAlignment="1">
      <alignment horizontal="left"/>
    </xf>
    <xf numFmtId="0" fontId="115" fillId="0" borderId="0" xfId="0" applyFont="1" applyAlignment="1">
      <alignment horizontal="left" vertical="center" wrapText="1"/>
    </xf>
    <xf numFmtId="0" fontId="16" fillId="0" borderId="0" xfId="8" applyAlignment="1" applyProtection="1">
      <alignment horizontal="left" vertical="center" wrapText="1"/>
    </xf>
    <xf numFmtId="0" fontId="16" fillId="0" borderId="0" xfId="8" applyAlignment="1" applyProtection="1">
      <alignment horizontal="left" wrapText="1"/>
    </xf>
    <xf numFmtId="0" fontId="0" fillId="0" borderId="13" xfId="0" applyBorder="1" applyAlignment="1">
      <alignment horizontal="center"/>
    </xf>
    <xf numFmtId="0" fontId="0" fillId="0" borderId="13" xfId="0" applyBorder="1" applyAlignment="1">
      <alignment horizontal="left" wrapText="1"/>
    </xf>
    <xf numFmtId="0" fontId="2" fillId="0" borderId="1" xfId="0" applyFont="1" applyBorder="1" applyAlignment="1">
      <alignment horizontal="center" vertical="top" wrapText="1"/>
    </xf>
    <xf numFmtId="9" fontId="0" fillId="0" borderId="1" xfId="1" applyFont="1" applyBorder="1" applyAlignment="1">
      <alignment horizontal="center"/>
    </xf>
    <xf numFmtId="0" fontId="90" fillId="0" borderId="0" xfId="0" applyFont="1" applyAlignment="1">
      <alignment horizontal="left"/>
    </xf>
    <xf numFmtId="0" fontId="0" fillId="0" borderId="1" xfId="0" applyBorder="1" applyAlignment="1">
      <alignment horizontal="center" wrapText="1"/>
    </xf>
    <xf numFmtId="0" fontId="2" fillId="0" borderId="1" xfId="0" applyFont="1" applyBorder="1" applyAlignment="1">
      <alignment horizontal="left" wrapText="1"/>
    </xf>
    <xf numFmtId="0" fontId="16" fillId="0" borderId="0" xfId="8" applyAlignment="1" applyProtection="1">
      <alignment horizontal="left" vertical="center"/>
    </xf>
    <xf numFmtId="0" fontId="117" fillId="0" borderId="0" xfId="0" applyFont="1" applyAlignment="1">
      <alignment horizontal="left" vertical="center" wrapText="1"/>
    </xf>
    <xf numFmtId="0" fontId="2" fillId="0" borderId="1" xfId="0" applyFont="1" applyBorder="1" applyAlignment="1">
      <alignment horizontal="center"/>
    </xf>
    <xf numFmtId="0" fontId="2" fillId="0" borderId="1" xfId="0" applyFont="1" applyBorder="1" applyAlignment="1">
      <alignment horizontal="center" wrapText="1"/>
    </xf>
    <xf numFmtId="0" fontId="133" fillId="0" borderId="0" xfId="0" applyFont="1" applyAlignment="1">
      <alignment horizontal="left"/>
    </xf>
    <xf numFmtId="0" fontId="60" fillId="0" borderId="1" xfId="0" applyFont="1" applyBorder="1" applyAlignment="1">
      <alignment horizontal="center"/>
    </xf>
    <xf numFmtId="0" fontId="114" fillId="0" borderId="1" xfId="0" applyFont="1" applyBorder="1" applyAlignment="1">
      <alignment horizontal="left" wrapText="1"/>
    </xf>
    <xf numFmtId="0" fontId="60" fillId="0" borderId="15" xfId="0" applyFont="1" applyBorder="1" applyAlignment="1">
      <alignment horizontal="center"/>
    </xf>
    <xf numFmtId="0" fontId="60" fillId="0" borderId="21" xfId="0" applyFont="1" applyBorder="1" applyAlignment="1">
      <alignment horizontal="center"/>
    </xf>
    <xf numFmtId="0" fontId="60" fillId="0" borderId="16" xfId="0" applyFont="1" applyBorder="1" applyAlignment="1">
      <alignment horizontal="center"/>
    </xf>
    <xf numFmtId="0" fontId="0" fillId="0" borderId="0" xfId="0"/>
    <xf numFmtId="0" fontId="0" fillId="0" borderId="0" xfId="0" applyAlignment="1">
      <alignment wrapText="1"/>
    </xf>
    <xf numFmtId="0" fontId="116" fillId="0" borderId="1" xfId="0" applyFont="1" applyBorder="1" applyAlignment="1">
      <alignment horizontal="center" vertical="center" wrapText="1"/>
    </xf>
    <xf numFmtId="9" fontId="0" fillId="0" borderId="0" xfId="0" applyNumberFormat="1" applyAlignment="1">
      <alignment horizontal="center" wrapText="1"/>
    </xf>
    <xf numFmtId="0" fontId="90" fillId="0" borderId="0" xfId="0" applyFont="1" applyAlignment="1">
      <alignment horizontal="left" vertical="top" wrapText="1"/>
    </xf>
    <xf numFmtId="0" fontId="122" fillId="0" borderId="13" xfId="0" applyFont="1" applyBorder="1" applyAlignment="1">
      <alignment horizontal="left" vertical="top" wrapText="1"/>
    </xf>
    <xf numFmtId="1" fontId="0" fillId="0" borderId="0" xfId="0" applyNumberFormat="1" applyAlignment="1">
      <alignment horizontal="center" wrapText="1"/>
    </xf>
    <xf numFmtId="0" fontId="2" fillId="0" borderId="1" xfId="0" applyFont="1" applyBorder="1" applyAlignment="1">
      <alignment horizontal="center" vertical="top"/>
    </xf>
    <xf numFmtId="0" fontId="2" fillId="0" borderId="15" xfId="0" applyFont="1" applyBorder="1" applyAlignment="1">
      <alignment horizontal="center" vertical="top"/>
    </xf>
    <xf numFmtId="0" fontId="2" fillId="0" borderId="21" xfId="0" applyFont="1" applyBorder="1" applyAlignment="1">
      <alignment horizontal="center" vertical="top"/>
    </xf>
    <xf numFmtId="0" fontId="2" fillId="0" borderId="16" xfId="0" applyFont="1" applyBorder="1" applyAlignment="1">
      <alignment horizontal="center" vertical="top"/>
    </xf>
    <xf numFmtId="0" fontId="2" fillId="0" borderId="15" xfId="0" applyFont="1" applyBorder="1" applyAlignment="1">
      <alignment horizontal="center" vertical="top" wrapText="1"/>
    </xf>
    <xf numFmtId="0" fontId="2" fillId="0" borderId="21" xfId="0" applyFont="1" applyBorder="1" applyAlignment="1">
      <alignment horizontal="center" vertical="top" wrapText="1"/>
    </xf>
    <xf numFmtId="0" fontId="2" fillId="0" borderId="16" xfId="0" applyFont="1" applyBorder="1" applyAlignment="1">
      <alignment horizontal="center" vertical="top" wrapText="1"/>
    </xf>
    <xf numFmtId="0" fontId="0" fillId="0" borderId="15" xfId="0" applyBorder="1" applyAlignment="1">
      <alignment horizontal="center" vertical="top" wrapText="1"/>
    </xf>
    <xf numFmtId="0" fontId="0" fillId="0" borderId="21" xfId="0" applyBorder="1" applyAlignment="1">
      <alignment horizontal="center" vertical="top" wrapText="1"/>
    </xf>
    <xf numFmtId="0" fontId="0" fillId="0" borderId="16" xfId="0" applyBorder="1" applyAlignment="1">
      <alignment horizontal="center" vertical="top" wrapText="1"/>
    </xf>
    <xf numFmtId="1" fontId="0" fillId="0" borderId="1" xfId="0" applyNumberFormat="1" applyBorder="1" applyAlignment="1">
      <alignment horizontal="center"/>
    </xf>
    <xf numFmtId="0" fontId="0" fillId="0" borderId="21" xfId="0" applyBorder="1" applyAlignment="1">
      <alignment horizontal="left" vertical="top"/>
    </xf>
    <xf numFmtId="0" fontId="0" fillId="0" borderId="16" xfId="0" applyBorder="1" applyAlignment="1">
      <alignment horizontal="left" vertical="top"/>
    </xf>
    <xf numFmtId="1" fontId="0" fillId="0" borderId="15" xfId="0" applyNumberFormat="1" applyBorder="1" applyAlignment="1">
      <alignment horizontal="center" vertical="top"/>
    </xf>
    <xf numFmtId="1" fontId="0" fillId="0" borderId="21" xfId="0" applyNumberFormat="1" applyBorder="1" applyAlignment="1">
      <alignment horizontal="center" vertical="top"/>
    </xf>
    <xf numFmtId="1" fontId="0" fillId="0" borderId="16" xfId="0" applyNumberFormat="1" applyBorder="1" applyAlignment="1">
      <alignment horizontal="center" vertical="top"/>
    </xf>
    <xf numFmtId="0" fontId="2" fillId="0" borderId="0" xfId="0" applyFont="1" applyAlignment="1">
      <alignment horizontal="left"/>
    </xf>
    <xf numFmtId="3" fontId="0" fillId="0" borderId="0" xfId="0" applyNumberFormat="1" applyAlignment="1">
      <alignment horizontal="center"/>
    </xf>
    <xf numFmtId="9" fontId="0" fillId="0" borderId="0" xfId="0" applyNumberFormat="1" applyAlignment="1">
      <alignment horizontal="center"/>
    </xf>
    <xf numFmtId="175" fontId="0" fillId="0" borderId="0" xfId="0" applyNumberFormat="1" applyAlignment="1">
      <alignment horizontal="center"/>
    </xf>
    <xf numFmtId="9" fontId="0" fillId="0" borderId="0" xfId="1" applyFont="1" applyFill="1" applyAlignment="1">
      <alignment horizontal="center"/>
    </xf>
    <xf numFmtId="0" fontId="0" fillId="0" borderId="15" xfId="0" applyBorder="1" applyAlignment="1">
      <alignment horizontal="left" wrapText="1"/>
    </xf>
    <xf numFmtId="0" fontId="0" fillId="0" borderId="21" xfId="0" applyBorder="1" applyAlignment="1">
      <alignment horizontal="left" wrapText="1"/>
    </xf>
    <xf numFmtId="0" fontId="0" fillId="0" borderId="16" xfId="0" applyBorder="1" applyAlignment="1">
      <alignment horizontal="left" wrapText="1"/>
    </xf>
    <xf numFmtId="1" fontId="0" fillId="0" borderId="0" xfId="0" applyNumberFormat="1" applyAlignment="1">
      <alignment horizontal="center"/>
    </xf>
    <xf numFmtId="0" fontId="0" fillId="0" borderId="15" xfId="0" applyBorder="1" applyAlignment="1">
      <alignment horizontal="center" wrapText="1"/>
    </xf>
    <xf numFmtId="0" fontId="0" fillId="0" borderId="21" xfId="0" applyBorder="1" applyAlignment="1">
      <alignment horizontal="center" wrapText="1"/>
    </xf>
    <xf numFmtId="0" fontId="0" fillId="0" borderId="16" xfId="0" applyBorder="1" applyAlignment="1">
      <alignment horizontal="center" wrapText="1"/>
    </xf>
    <xf numFmtId="0" fontId="2" fillId="0" borderId="15" xfId="0" applyFont="1" applyBorder="1" applyAlignment="1">
      <alignment horizontal="center"/>
    </xf>
    <xf numFmtId="0" fontId="2" fillId="0" borderId="21" xfId="0" applyFont="1" applyBorder="1" applyAlignment="1">
      <alignment horizontal="center"/>
    </xf>
    <xf numFmtId="0" fontId="2" fillId="0" borderId="16" xfId="0" applyFont="1" applyBorder="1" applyAlignment="1">
      <alignment horizontal="center"/>
    </xf>
    <xf numFmtId="0" fontId="0" fillId="0" borderId="1" xfId="0" applyBorder="1" applyAlignment="1">
      <alignment horizontal="center" vertical="center"/>
    </xf>
    <xf numFmtId="0" fontId="0" fillId="0" borderId="15" xfId="0" applyBorder="1" applyAlignment="1">
      <alignment horizontal="center" vertical="center" wrapText="1"/>
    </xf>
    <xf numFmtId="0" fontId="0" fillId="0" borderId="21" xfId="0" applyBorder="1" applyAlignment="1">
      <alignment horizontal="center" vertical="center"/>
    </xf>
    <xf numFmtId="0" fontId="0" fillId="0" borderId="16" xfId="0" applyBorder="1" applyAlignment="1">
      <alignment horizontal="center" vertical="center"/>
    </xf>
    <xf numFmtId="0" fontId="0" fillId="0" borderId="15" xfId="0" applyBorder="1" applyAlignment="1">
      <alignment horizontal="center" vertical="center"/>
    </xf>
    <xf numFmtId="1" fontId="2" fillId="0" borderId="1" xfId="0" applyNumberFormat="1" applyFont="1" applyBorder="1" applyAlignment="1">
      <alignment horizontal="right"/>
    </xf>
    <xf numFmtId="1" fontId="0" fillId="0" borderId="1" xfId="0" applyNumberFormat="1" applyBorder="1" applyAlignment="1">
      <alignment horizontal="right" wrapText="1"/>
    </xf>
    <xf numFmtId="9" fontId="0" fillId="0" borderId="1" xfId="0" applyNumberFormat="1" applyBorder="1" applyAlignment="1">
      <alignment horizontal="center"/>
    </xf>
    <xf numFmtId="1" fontId="2" fillId="0" borderId="1" xfId="0" applyNumberFormat="1" applyFont="1" applyBorder="1" applyAlignment="1">
      <alignment horizontal="right" wrapText="1"/>
    </xf>
    <xf numFmtId="9" fontId="2" fillId="0" borderId="1" xfId="0" applyNumberFormat="1" applyFont="1" applyBorder="1" applyAlignment="1">
      <alignment horizontal="center"/>
    </xf>
    <xf numFmtId="1" fontId="60" fillId="0" borderId="1" xfId="0" applyNumberFormat="1" applyFont="1" applyBorder="1" applyAlignment="1">
      <alignment horizontal="right"/>
    </xf>
    <xf numFmtId="0" fontId="60" fillId="0" borderId="1" xfId="0" applyFont="1" applyBorder="1" applyAlignment="1">
      <alignment horizontal="left" wrapText="1"/>
    </xf>
    <xf numFmtId="1" fontId="60" fillId="0" borderId="1" xfId="0" applyNumberFormat="1" applyFont="1" applyBorder="1" applyAlignment="1">
      <alignment horizontal="right" vertical="top"/>
    </xf>
    <xf numFmtId="0" fontId="122" fillId="0" borderId="1" xfId="0" applyFont="1" applyBorder="1" applyAlignment="1">
      <alignment horizontal="left"/>
    </xf>
    <xf numFmtId="1" fontId="122" fillId="0" borderId="1" xfId="0" applyNumberFormat="1" applyFont="1" applyBorder="1" applyAlignment="1">
      <alignment horizontal="right"/>
    </xf>
    <xf numFmtId="0" fontId="0" fillId="0" borderId="0" xfId="0" applyAlignment="1">
      <alignment horizontal="left" vertical="center" wrapText="1"/>
    </xf>
    <xf numFmtId="0" fontId="0" fillId="0" borderId="28" xfId="0" applyBorder="1" applyAlignment="1">
      <alignment horizontal="left"/>
    </xf>
    <xf numFmtId="0" fontId="0" fillId="0" borderId="29" xfId="0" applyBorder="1" applyAlignment="1">
      <alignment horizontal="left"/>
    </xf>
    <xf numFmtId="0" fontId="0" fillId="0" borderId="30" xfId="0" applyBorder="1" applyAlignment="1">
      <alignment horizontal="left"/>
    </xf>
    <xf numFmtId="0" fontId="0" fillId="0" borderId="11" xfId="0" applyBorder="1" applyAlignment="1">
      <alignment horizontal="left"/>
    </xf>
    <xf numFmtId="0" fontId="0" fillId="0" borderId="22" xfId="0" applyBorder="1" applyAlignment="1">
      <alignment horizontal="left"/>
    </xf>
    <xf numFmtId="0" fontId="109" fillId="0" borderId="15" xfId="0" applyFont="1" applyBorder="1" applyAlignment="1">
      <alignment horizontal="center" vertical="center" wrapText="1"/>
    </xf>
    <xf numFmtId="0" fontId="109" fillId="0" borderId="21" xfId="0" applyFont="1" applyBorder="1" applyAlignment="1">
      <alignment horizontal="center" vertical="center" wrapText="1"/>
    </xf>
    <xf numFmtId="0" fontId="109" fillId="0" borderId="16" xfId="0" applyFont="1" applyBorder="1" applyAlignment="1">
      <alignment horizontal="center" vertical="center" wrapText="1"/>
    </xf>
    <xf numFmtId="0" fontId="109" fillId="0" borderId="29" xfId="0" applyFont="1" applyBorder="1" applyAlignment="1">
      <alignment horizontal="center" vertical="center" wrapText="1"/>
    </xf>
    <xf numFmtId="0" fontId="109" fillId="0" borderId="0" xfId="0" applyFont="1" applyAlignment="1">
      <alignment horizontal="center" vertical="center" wrapText="1"/>
    </xf>
    <xf numFmtId="178" fontId="0" fillId="0" borderId="15" xfId="0" applyNumberFormat="1" applyBorder="1" applyAlignment="1">
      <alignment horizontal="left"/>
    </xf>
    <xf numFmtId="0" fontId="108" fillId="0" borderId="0" xfId="0" applyFont="1" applyAlignment="1">
      <alignment horizontal="left" vertical="center"/>
    </xf>
    <xf numFmtId="0" fontId="0" fillId="0" borderId="15" xfId="0" applyBorder="1" applyAlignment="1">
      <alignment horizontal="left" vertical="center"/>
    </xf>
    <xf numFmtId="0" fontId="0" fillId="0" borderId="21" xfId="0" applyBorder="1" applyAlignment="1">
      <alignment horizontal="left" vertical="center"/>
    </xf>
    <xf numFmtId="0" fontId="0" fillId="0" borderId="16" xfId="0" applyBorder="1" applyAlignment="1">
      <alignment horizontal="left" vertical="center"/>
    </xf>
    <xf numFmtId="0" fontId="109" fillId="0" borderId="15" xfId="0" applyFont="1" applyBorder="1" applyAlignment="1">
      <alignment horizontal="left" vertical="center" wrapText="1"/>
    </xf>
    <xf numFmtId="0" fontId="109" fillId="0" borderId="21" xfId="0" applyFont="1" applyBorder="1" applyAlignment="1">
      <alignment horizontal="left" vertical="center" wrapText="1"/>
    </xf>
    <xf numFmtId="0" fontId="109" fillId="0" borderId="16" xfId="0" applyFont="1" applyBorder="1" applyAlignment="1">
      <alignment horizontal="left" vertical="center" wrapText="1"/>
    </xf>
    <xf numFmtId="0" fontId="0" fillId="0" borderId="12" xfId="0" applyBorder="1" applyAlignment="1">
      <alignment horizontal="left"/>
    </xf>
    <xf numFmtId="0" fontId="0" fillId="0" borderId="13" xfId="0" applyBorder="1" applyAlignment="1">
      <alignment horizontal="left"/>
    </xf>
    <xf numFmtId="0" fontId="0" fillId="0" borderId="31" xfId="0" applyBorder="1" applyAlignment="1">
      <alignment horizontal="left"/>
    </xf>
    <xf numFmtId="0" fontId="109" fillId="0" borderId="28" xfId="0" applyFont="1" applyBorder="1" applyAlignment="1">
      <alignment horizontal="center" vertical="center" wrapText="1"/>
    </xf>
    <xf numFmtId="0" fontId="109" fillId="0" borderId="30" xfId="0" applyFont="1" applyBorder="1" applyAlignment="1">
      <alignment horizontal="center" vertical="center" wrapText="1"/>
    </xf>
    <xf numFmtId="178" fontId="0" fillId="0" borderId="28" xfId="0" applyNumberForma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09" fillId="0" borderId="12" xfId="0" applyFont="1" applyBorder="1" applyAlignment="1">
      <alignment horizontal="center" vertical="center" wrapText="1"/>
    </xf>
    <xf numFmtId="0" fontId="109" fillId="0" borderId="13" xfId="0" applyFont="1" applyBorder="1" applyAlignment="1">
      <alignment horizontal="center" vertical="center" wrapText="1"/>
    </xf>
    <xf numFmtId="0" fontId="109" fillId="0" borderId="31" xfId="0" applyFont="1" applyBorder="1" applyAlignment="1">
      <alignment horizontal="center" vertical="center" wrapText="1"/>
    </xf>
    <xf numFmtId="0" fontId="9" fillId="0" borderId="0" xfId="0" applyFont="1" applyAlignment="1">
      <alignment horizontal="center"/>
    </xf>
    <xf numFmtId="0" fontId="99" fillId="0" borderId="0" xfId="0" applyFont="1" applyAlignment="1">
      <alignment horizontal="center" vertical="center"/>
    </xf>
    <xf numFmtId="0" fontId="94" fillId="0" borderId="0" xfId="0" applyFont="1" applyAlignment="1">
      <alignment horizontal="center" vertical="center"/>
    </xf>
    <xf numFmtId="0" fontId="94" fillId="0" borderId="0" xfId="0" applyFont="1" applyAlignment="1">
      <alignment horizontal="center"/>
    </xf>
    <xf numFmtId="0" fontId="95" fillId="7" borderId="0" xfId="0" applyFont="1" applyFill="1" applyAlignment="1">
      <alignment horizontal="center"/>
    </xf>
    <xf numFmtId="0" fontId="96" fillId="7" borderId="0" xfId="0" applyFont="1" applyFill="1" applyAlignment="1">
      <alignment horizontal="center"/>
    </xf>
    <xf numFmtId="0" fontId="98" fillId="0" borderId="0" xfId="0" applyFont="1" applyAlignment="1">
      <alignment horizontal="center"/>
    </xf>
    <xf numFmtId="0" fontId="90" fillId="0" borderId="0" xfId="0" applyFont="1" applyAlignment="1">
      <alignment horizontal="center"/>
    </xf>
    <xf numFmtId="0" fontId="109" fillId="0" borderId="28" xfId="0" applyFont="1" applyBorder="1" applyAlignment="1">
      <alignment horizontal="center" wrapText="1"/>
    </xf>
    <xf numFmtId="0" fontId="109" fillId="0" borderId="29" xfId="0" applyFont="1" applyBorder="1" applyAlignment="1">
      <alignment horizontal="center" wrapText="1"/>
    </xf>
    <xf numFmtId="0" fontId="109" fillId="0" borderId="30" xfId="0" applyFont="1" applyBorder="1" applyAlignment="1">
      <alignment horizontal="center" wrapText="1"/>
    </xf>
    <xf numFmtId="0" fontId="109" fillId="0" borderId="11" xfId="0" applyFont="1" applyBorder="1" applyAlignment="1">
      <alignment horizontal="center" wrapText="1"/>
    </xf>
    <xf numFmtId="0" fontId="109" fillId="0" borderId="0" xfId="0" applyFont="1" applyAlignment="1">
      <alignment horizontal="center" wrapText="1"/>
    </xf>
    <xf numFmtId="0" fontId="109" fillId="0" borderId="22" xfId="0" applyFont="1" applyBorder="1" applyAlignment="1">
      <alignment horizontal="center" wrapText="1"/>
    </xf>
    <xf numFmtId="0" fontId="109" fillId="0" borderId="12" xfId="0" applyFont="1" applyBorder="1" applyAlignment="1">
      <alignment horizontal="center" wrapText="1"/>
    </xf>
    <xf numFmtId="0" fontId="109" fillId="0" borderId="13" xfId="0" applyFont="1" applyBorder="1" applyAlignment="1">
      <alignment horizontal="center" wrapText="1"/>
    </xf>
    <xf numFmtId="0" fontId="109" fillId="0" borderId="31" xfId="0" applyFont="1" applyBorder="1" applyAlignment="1">
      <alignment horizontal="center" wrapText="1"/>
    </xf>
    <xf numFmtId="0" fontId="109" fillId="0" borderId="11" xfId="0" applyFont="1" applyBorder="1" applyAlignment="1">
      <alignment horizontal="left" vertical="center" wrapText="1"/>
    </xf>
    <xf numFmtId="0" fontId="109" fillId="0" borderId="0" xfId="0" applyFont="1" applyAlignment="1">
      <alignment horizontal="left" vertical="center" wrapText="1"/>
    </xf>
    <xf numFmtId="0" fontId="109" fillId="0" borderId="22" xfId="0" applyFont="1" applyBorder="1" applyAlignment="1">
      <alignment horizontal="left" vertical="center" wrapText="1"/>
    </xf>
    <xf numFmtId="0" fontId="109" fillId="0" borderId="12" xfId="0" applyFont="1" applyBorder="1" applyAlignment="1">
      <alignment horizontal="left" vertical="center" wrapText="1"/>
    </xf>
    <xf numFmtId="0" fontId="109" fillId="0" borderId="13" xfId="0" applyFont="1" applyBorder="1" applyAlignment="1">
      <alignment horizontal="left" vertical="center" wrapText="1"/>
    </xf>
    <xf numFmtId="0" fontId="109" fillId="0" borderId="31" xfId="0" applyFont="1" applyBorder="1" applyAlignment="1">
      <alignment horizontal="left" vertical="center" wrapText="1"/>
    </xf>
    <xf numFmtId="178" fontId="109" fillId="0" borderId="11" xfId="0" applyNumberFormat="1" applyFont="1" applyBorder="1" applyAlignment="1">
      <alignment horizontal="center" vertical="center" wrapText="1"/>
    </xf>
    <xf numFmtId="178" fontId="109" fillId="0" borderId="12" xfId="0" applyNumberFormat="1" applyFont="1" applyBorder="1" applyAlignment="1">
      <alignment horizontal="center" vertical="center" wrapText="1"/>
    </xf>
    <xf numFmtId="0" fontId="135" fillId="0" borderId="28" xfId="0" applyFont="1" applyBorder="1" applyAlignment="1">
      <alignment horizontal="center" wrapText="1"/>
    </xf>
    <xf numFmtId="0" fontId="135" fillId="0" borderId="29" xfId="0" applyFont="1" applyBorder="1" applyAlignment="1">
      <alignment horizontal="center" wrapText="1"/>
    </xf>
    <xf numFmtId="0" fontId="135" fillId="0" borderId="30" xfId="0" applyFont="1" applyBorder="1" applyAlignment="1">
      <alignment horizontal="center" wrapText="1"/>
    </xf>
    <xf numFmtId="0" fontId="135" fillId="0" borderId="11" xfId="0" applyFont="1" applyBorder="1" applyAlignment="1">
      <alignment horizontal="center" wrapText="1"/>
    </xf>
    <xf numFmtId="0" fontId="135" fillId="0" borderId="0" xfId="0" applyFont="1" applyAlignment="1">
      <alignment horizontal="center" wrapText="1"/>
    </xf>
    <xf numFmtId="0" fontId="135" fillId="0" borderId="22" xfId="0" applyFont="1" applyBorder="1" applyAlignment="1">
      <alignment horizontal="center" wrapText="1"/>
    </xf>
    <xf numFmtId="0" fontId="135" fillId="0" borderId="12" xfId="0" applyFont="1" applyBorder="1" applyAlignment="1">
      <alignment horizontal="center" wrapText="1"/>
    </xf>
    <xf numFmtId="0" fontId="135" fillId="0" borderId="13" xfId="0" applyFont="1" applyBorder="1" applyAlignment="1">
      <alignment horizontal="center" wrapText="1"/>
    </xf>
    <xf numFmtId="0" fontId="135" fillId="0" borderId="31" xfId="0" applyFont="1" applyBorder="1" applyAlignment="1">
      <alignment horizontal="center" wrapText="1"/>
    </xf>
    <xf numFmtId="0" fontId="0" fillId="0" borderId="15" xfId="0" applyBorder="1" applyAlignment="1">
      <alignment horizontal="left" vertical="top"/>
    </xf>
    <xf numFmtId="0" fontId="60" fillId="0" borderId="1" xfId="0" applyFont="1" applyBorder="1" applyAlignment="1">
      <alignment horizontal="center" wrapText="1"/>
    </xf>
    <xf numFmtId="1" fontId="60" fillId="0" borderId="1" xfId="0" applyNumberFormat="1" applyFont="1" applyBorder="1" applyAlignment="1">
      <alignment horizontal="center"/>
    </xf>
    <xf numFmtId="0" fontId="2" fillId="0" borderId="0" xfId="0" applyFont="1" applyAlignment="1">
      <alignment horizontal="left" vertical="center" wrapText="1"/>
    </xf>
    <xf numFmtId="0" fontId="114" fillId="0" borderId="1" xfId="0" applyFont="1" applyBorder="1" applyAlignment="1">
      <alignment horizontal="center" wrapText="1"/>
    </xf>
    <xf numFmtId="178" fontId="2" fillId="0" borderId="1" xfId="0" applyNumberFormat="1" applyFont="1" applyBorder="1" applyAlignment="1">
      <alignment horizontal="center" vertical="top" wrapText="1"/>
    </xf>
    <xf numFmtId="178" fontId="0" fillId="0" borderId="1" xfId="0" applyNumberFormat="1" applyBorder="1" applyAlignment="1">
      <alignment horizontal="center" vertical="top" wrapText="1"/>
    </xf>
    <xf numFmtId="178" fontId="0" fillId="0" borderId="15" xfId="0" applyNumberFormat="1" applyBorder="1" applyAlignment="1">
      <alignment horizontal="center" vertical="top"/>
    </xf>
    <xf numFmtId="178" fontId="0" fillId="0" borderId="16" xfId="0" applyNumberFormat="1" applyBorder="1" applyAlignment="1">
      <alignment horizontal="center" vertical="top"/>
    </xf>
    <xf numFmtId="178" fontId="0" fillId="0" borderId="15" xfId="0" applyNumberFormat="1" applyBorder="1" applyAlignment="1">
      <alignment horizontal="center" vertical="top" wrapText="1"/>
    </xf>
    <xf numFmtId="178" fontId="0" fillId="0" borderId="16" xfId="0" applyNumberFormat="1" applyBorder="1" applyAlignment="1">
      <alignment horizontal="center" vertical="top" wrapText="1"/>
    </xf>
    <xf numFmtId="0" fontId="2" fillId="0" borderId="15" xfId="0" applyFont="1" applyBorder="1" applyAlignment="1">
      <alignment horizontal="left" vertical="top" wrapText="1"/>
    </xf>
    <xf numFmtId="0" fontId="2" fillId="0" borderId="21" xfId="0" applyFont="1" applyBorder="1" applyAlignment="1">
      <alignment horizontal="left" vertical="top" wrapText="1"/>
    </xf>
    <xf numFmtId="0" fontId="2" fillId="0" borderId="16" xfId="0" applyFont="1" applyBorder="1" applyAlignment="1">
      <alignment horizontal="left" vertical="top" wrapText="1"/>
    </xf>
    <xf numFmtId="14" fontId="2" fillId="0" borderId="1" xfId="0" applyNumberFormat="1" applyFont="1" applyBorder="1" applyAlignment="1">
      <alignment horizontal="center" vertical="top" wrapText="1"/>
    </xf>
    <xf numFmtId="1" fontId="2" fillId="0" borderId="15" xfId="0" applyNumberFormat="1" applyFont="1" applyBorder="1" applyAlignment="1">
      <alignment horizontal="center" vertical="top" wrapText="1"/>
    </xf>
    <xf numFmtId="1" fontId="2" fillId="0" borderId="21" xfId="0" applyNumberFormat="1" applyFont="1" applyBorder="1" applyAlignment="1">
      <alignment horizontal="center" vertical="top" wrapText="1"/>
    </xf>
    <xf numFmtId="1" fontId="2" fillId="0" borderId="16" xfId="0" applyNumberFormat="1" applyFont="1" applyBorder="1" applyAlignment="1">
      <alignment horizontal="center" vertical="top" wrapText="1"/>
    </xf>
    <xf numFmtId="0" fontId="2" fillId="0" borderId="1" xfId="0" applyFont="1" applyBorder="1" applyAlignment="1">
      <alignment horizontal="center" vertical="center"/>
    </xf>
    <xf numFmtId="0" fontId="2" fillId="12" borderId="0" xfId="0" applyFont="1" applyFill="1" applyAlignment="1">
      <alignment horizontal="left" wrapText="1"/>
    </xf>
    <xf numFmtId="178" fontId="0" fillId="0" borderId="1" xfId="0" applyNumberFormat="1" applyBorder="1" applyAlignment="1">
      <alignment horizontal="center" wrapText="1"/>
    </xf>
    <xf numFmtId="0" fontId="0" fillId="0" borderId="21" xfId="0" applyBorder="1" applyAlignment="1">
      <alignment horizontal="center" vertical="center" wrapText="1"/>
    </xf>
    <xf numFmtId="0" fontId="0" fillId="0" borderId="16" xfId="0" applyBorder="1" applyAlignment="1">
      <alignment horizontal="center" vertical="center" wrapText="1"/>
    </xf>
    <xf numFmtId="0" fontId="60" fillId="0" borderId="28" xfId="0" applyFont="1" applyBorder="1" applyAlignment="1">
      <alignment horizontal="center" vertical="center" wrapText="1"/>
    </xf>
    <xf numFmtId="0" fontId="60" fillId="0" borderId="29" xfId="0" applyFont="1" applyBorder="1" applyAlignment="1">
      <alignment horizontal="center" vertical="center" wrapText="1"/>
    </xf>
    <xf numFmtId="0" fontId="60" fillId="0" borderId="30"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13" xfId="0" applyFont="1" applyBorder="1" applyAlignment="1">
      <alignment horizontal="center" vertical="center" wrapText="1"/>
    </xf>
    <xf numFmtId="0" fontId="60" fillId="0" borderId="31" xfId="0" applyFont="1"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31" xfId="0" applyBorder="1" applyAlignment="1">
      <alignment horizontal="center" vertical="center" wrapText="1"/>
    </xf>
    <xf numFmtId="0" fontId="93" fillId="6" borderId="0" xfId="0" applyFont="1" applyFill="1" applyAlignment="1">
      <alignment horizontal="center"/>
    </xf>
    <xf numFmtId="0" fontId="0" fillId="6" borderId="0" xfId="0" applyFill="1" applyAlignment="1">
      <alignment horizontal="center" vertical="center"/>
    </xf>
    <xf numFmtId="0" fontId="0" fillId="0" borderId="0" xfId="0" applyAlignment="1">
      <alignment horizontal="center" vertical="center" wrapText="1"/>
    </xf>
    <xf numFmtId="0" fontId="122" fillId="0" borderId="15" xfId="0" applyFont="1" applyBorder="1" applyAlignment="1">
      <alignment horizontal="left" vertical="top" wrapText="1"/>
    </xf>
    <xf numFmtId="0" fontId="122" fillId="0" borderId="21" xfId="0" applyFont="1" applyBorder="1" applyAlignment="1">
      <alignment horizontal="left" vertical="top" wrapText="1"/>
    </xf>
    <xf numFmtId="0" fontId="122" fillId="0" borderId="16" xfId="0" applyFont="1" applyBorder="1" applyAlignment="1">
      <alignment horizontal="left" vertical="top" wrapText="1"/>
    </xf>
    <xf numFmtId="0" fontId="130" fillId="0" borderId="1" xfId="8" applyFont="1" applyBorder="1" applyAlignment="1" applyProtection="1">
      <alignment horizontal="center" vertical="top" wrapText="1"/>
    </xf>
    <xf numFmtId="0" fontId="109" fillId="0" borderId="0" xfId="0" applyFont="1" applyAlignment="1">
      <alignment horizontal="left" vertical="center"/>
    </xf>
    <xf numFmtId="0" fontId="0" fillId="0" borderId="28" xfId="0" applyBorder="1" applyAlignment="1">
      <alignment horizontal="center" wrapText="1"/>
    </xf>
    <xf numFmtId="0" fontId="0" fillId="0" borderId="29" xfId="0" applyBorder="1" applyAlignment="1">
      <alignment horizontal="center" wrapText="1"/>
    </xf>
    <xf numFmtId="0" fontId="0" fillId="0" borderId="30" xfId="0" applyBorder="1" applyAlignment="1">
      <alignment horizontal="center" wrapText="1"/>
    </xf>
    <xf numFmtId="0" fontId="0" fillId="0" borderId="0" xfId="0"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31" xfId="0" applyBorder="1" applyAlignment="1">
      <alignment horizontal="left" vertical="top"/>
    </xf>
    <xf numFmtId="0" fontId="0" fillId="0" borderId="28" xfId="0" applyBorder="1" applyAlignment="1">
      <alignment horizontal="left" vertical="top"/>
    </xf>
    <xf numFmtId="0" fontId="0" fillId="0" borderId="29" xfId="0" applyBorder="1" applyAlignment="1">
      <alignment horizontal="left" vertical="top"/>
    </xf>
    <xf numFmtId="0" fontId="0" fillId="0" borderId="30" xfId="0" applyBorder="1" applyAlignment="1">
      <alignment horizontal="left" vertical="top"/>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31" xfId="0"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0" fillId="0" borderId="11" xfId="0" applyBorder="1" applyAlignment="1">
      <alignment horizontal="left" vertical="top"/>
    </xf>
    <xf numFmtId="0" fontId="0" fillId="0" borderId="22" xfId="0" applyBorder="1" applyAlignment="1">
      <alignment horizontal="left" vertical="top"/>
    </xf>
    <xf numFmtId="0" fontId="93" fillId="6" borderId="0" xfId="0" applyFont="1" applyFill="1" applyAlignment="1">
      <alignment horizontal="center" vertical="center"/>
    </xf>
    <xf numFmtId="0" fontId="2" fillId="6" borderId="0" xfId="0" applyFont="1" applyFill="1" applyAlignment="1">
      <alignment horizontal="center" vertical="center"/>
    </xf>
    <xf numFmtId="0" fontId="0" fillId="0" borderId="11" xfId="0" applyBorder="1" applyAlignment="1">
      <alignment horizontal="center" vertical="center" wrapText="1"/>
    </xf>
    <xf numFmtId="0" fontId="0" fillId="0" borderId="22" xfId="0" applyBorder="1" applyAlignment="1">
      <alignment horizontal="center" vertical="center" wrapText="1"/>
    </xf>
    <xf numFmtId="0" fontId="60" fillId="0" borderId="15" xfId="0" applyFont="1" applyBorder="1" applyAlignment="1">
      <alignment horizontal="center" vertical="center" wrapText="1"/>
    </xf>
    <xf numFmtId="0" fontId="60" fillId="0" borderId="21" xfId="0" applyFont="1" applyBorder="1" applyAlignment="1">
      <alignment horizontal="center" vertical="center" wrapText="1"/>
    </xf>
    <xf numFmtId="0" fontId="60" fillId="0" borderId="16" xfId="0" applyFont="1" applyBorder="1" applyAlignment="1">
      <alignment horizontal="center" vertical="center" wrapText="1"/>
    </xf>
    <xf numFmtId="0" fontId="0" fillId="0" borderId="20" xfId="0" applyBorder="1" applyAlignment="1">
      <alignment horizontal="center" vertical="top"/>
    </xf>
    <xf numFmtId="0" fontId="0" fillId="0" borderId="2" xfId="0" applyBorder="1" applyAlignment="1">
      <alignment horizontal="center" vertical="top"/>
    </xf>
    <xf numFmtId="0" fontId="0" fillId="0" borderId="14" xfId="0" applyBorder="1" applyAlignment="1">
      <alignment horizontal="center" vertical="top"/>
    </xf>
    <xf numFmtId="0" fontId="0" fillId="0" borderId="20" xfId="0" applyBorder="1" applyAlignment="1">
      <alignment horizontal="left"/>
    </xf>
    <xf numFmtId="0" fontId="0" fillId="0" borderId="14" xfId="0" applyBorder="1" applyAlignment="1">
      <alignment horizontal="left"/>
    </xf>
    <xf numFmtId="0" fontId="0" fillId="0" borderId="1" xfId="0" applyBorder="1" applyAlignment="1">
      <alignment horizontal="left" vertical="center" wrapText="1"/>
    </xf>
    <xf numFmtId="0" fontId="0" fillId="0" borderId="14" xfId="0" applyBorder="1" applyAlignment="1">
      <alignment horizontal="center"/>
    </xf>
    <xf numFmtId="0" fontId="0" fillId="0" borderId="2" xfId="0" applyBorder="1" applyAlignment="1">
      <alignment horizontal="left" vertical="center"/>
    </xf>
    <xf numFmtId="0" fontId="0" fillId="0" borderId="20" xfId="0" applyBorder="1" applyAlignment="1">
      <alignment horizontal="center"/>
    </xf>
    <xf numFmtId="0" fontId="0" fillId="0" borderId="11" xfId="0" applyBorder="1" applyAlignment="1">
      <alignment horizontal="left" vertical="top" wrapText="1"/>
    </xf>
    <xf numFmtId="0" fontId="0" fillId="0" borderId="0" xfId="0" applyAlignment="1">
      <alignment horizontal="left" vertical="top" wrapText="1"/>
    </xf>
    <xf numFmtId="0" fontId="0" fillId="0" borderId="22" xfId="0" applyBorder="1" applyAlignment="1">
      <alignment horizontal="left" vertical="top" wrapText="1"/>
    </xf>
    <xf numFmtId="0" fontId="0" fillId="0" borderId="2" xfId="0" applyBorder="1" applyAlignment="1">
      <alignment horizontal="left" wrapText="1"/>
    </xf>
    <xf numFmtId="179" fontId="0" fillId="0" borderId="1" xfId="0" applyNumberFormat="1" applyBorder="1" applyAlignment="1">
      <alignment horizontal="center"/>
    </xf>
    <xf numFmtId="0" fontId="0" fillId="0" borderId="15" xfId="0" applyBorder="1" applyAlignment="1">
      <alignment horizontal="right"/>
    </xf>
    <xf numFmtId="0" fontId="0" fillId="0" borderId="21" xfId="0" applyBorder="1" applyAlignment="1">
      <alignment horizontal="right"/>
    </xf>
    <xf numFmtId="0" fontId="0" fillId="0" borderId="16" xfId="0" applyBorder="1" applyAlignment="1">
      <alignment horizontal="right"/>
    </xf>
    <xf numFmtId="0" fontId="0" fillId="0" borderId="0" xfId="0" applyAlignment="1">
      <alignment horizontal="center" vertical="center"/>
    </xf>
    <xf numFmtId="0" fontId="93" fillId="0" borderId="0" xfId="0" applyFont="1" applyAlignment="1">
      <alignment horizontal="center"/>
    </xf>
    <xf numFmtId="0" fontId="2" fillId="0" borderId="21" xfId="0" applyFont="1" applyBorder="1" applyAlignment="1">
      <alignment horizontal="left" wrapText="1"/>
    </xf>
    <xf numFmtId="0" fontId="2" fillId="0" borderId="16" xfId="0" applyFont="1" applyBorder="1" applyAlignment="1">
      <alignment horizontal="left" wrapText="1"/>
    </xf>
    <xf numFmtId="0" fontId="114" fillId="0" borderId="15" xfId="0" applyFont="1" applyBorder="1" applyAlignment="1">
      <alignment horizontal="center" vertical="center" wrapText="1"/>
    </xf>
    <xf numFmtId="0" fontId="114" fillId="0" borderId="21" xfId="0" applyFont="1" applyBorder="1" applyAlignment="1">
      <alignment horizontal="center" vertical="center" wrapText="1"/>
    </xf>
    <xf numFmtId="0" fontId="114" fillId="0" borderId="16"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16" xfId="0" applyFont="1" applyBorder="1" applyAlignment="1">
      <alignment horizontal="center" vertical="center" wrapText="1"/>
    </xf>
    <xf numFmtId="0" fontId="134" fillId="0" borderId="0" xfId="0" applyFont="1" applyAlignment="1">
      <alignment horizontal="justify" wrapText="1"/>
    </xf>
    <xf numFmtId="0" fontId="2" fillId="0" borderId="0" xfId="0" applyFont="1" applyAlignment="1">
      <alignment horizontal="center"/>
    </xf>
    <xf numFmtId="0" fontId="43" fillId="5" borderId="12" xfId="0" applyFont="1" applyFill="1" applyBorder="1" applyAlignment="1">
      <alignment horizontal="center" vertical="center" wrapText="1"/>
    </xf>
    <xf numFmtId="0" fontId="43" fillId="5" borderId="13" xfId="0" applyFont="1" applyFill="1" applyBorder="1" applyAlignment="1">
      <alignment horizontal="center" vertical="center" wrapText="1"/>
    </xf>
    <xf numFmtId="0" fontId="59" fillId="0" borderId="1" xfId="0" applyFont="1" applyBorder="1" applyAlignment="1">
      <alignment horizontal="center" vertical="center" wrapText="1"/>
    </xf>
    <xf numFmtId="0" fontId="51" fillId="0" borderId="0" xfId="0" applyFont="1" applyAlignment="1">
      <alignment horizontal="center" wrapText="1"/>
    </xf>
    <xf numFmtId="0" fontId="59" fillId="0" borderId="15" xfId="0" applyFont="1" applyBorder="1" applyAlignment="1">
      <alignment horizontal="center" vertical="center" wrapText="1"/>
    </xf>
    <xf numFmtId="0" fontId="125" fillId="13" borderId="0" xfId="0" applyFont="1" applyFill="1" applyAlignment="1" applyProtection="1">
      <alignment horizontal="center" vertical="center"/>
      <protection hidden="1"/>
    </xf>
    <xf numFmtId="0" fontId="123" fillId="13" borderId="0" xfId="0" applyFont="1" applyFill="1" applyAlignment="1" applyProtection="1">
      <alignment horizontal="center"/>
      <protection hidden="1"/>
    </xf>
    <xf numFmtId="0" fontId="124" fillId="13" borderId="0" xfId="0" applyFont="1" applyFill="1" applyAlignment="1" applyProtection="1">
      <alignment horizontal="center"/>
      <protection hidden="1"/>
    </xf>
    <xf numFmtId="0" fontId="127" fillId="13" borderId="0" xfId="0" applyFont="1" applyFill="1" applyAlignment="1" applyProtection="1">
      <alignment horizontal="center" vertical="center" wrapText="1"/>
      <protection hidden="1"/>
    </xf>
    <xf numFmtId="0" fontId="9" fillId="0" borderId="0" xfId="0" applyFont="1" applyAlignment="1">
      <alignment horizontal="left" vertical="center" wrapText="1"/>
    </xf>
    <xf numFmtId="0" fontId="67" fillId="0" borderId="13" xfId="0" applyFont="1" applyBorder="1" applyAlignment="1">
      <alignment horizontal="center" vertical="center" wrapText="1"/>
    </xf>
    <xf numFmtId="0" fontId="63" fillId="8" borderId="1" xfId="0" applyFont="1" applyFill="1" applyBorder="1" applyAlignment="1">
      <alignment horizontal="center" vertical="center" wrapText="1"/>
    </xf>
    <xf numFmtId="0" fontId="61" fillId="10" borderId="1" xfId="0" applyFont="1" applyFill="1" applyBorder="1" applyAlignment="1">
      <alignment horizontal="left" vertical="center" wrapText="1"/>
    </xf>
    <xf numFmtId="0" fontId="2" fillId="0" borderId="1" xfId="0" applyFont="1" applyBorder="1" applyAlignment="1">
      <alignment horizontal="left" vertical="center" wrapText="1"/>
    </xf>
    <xf numFmtId="0" fontId="0" fillId="0" borderId="20" xfId="0" applyBorder="1" applyAlignment="1">
      <alignment horizontal="left" vertical="center" wrapText="1"/>
    </xf>
    <xf numFmtId="0" fontId="0" fillId="0" borderId="2"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21" xfId="0" applyBorder="1" applyAlignment="1">
      <alignment horizontal="left" vertical="center" wrapText="1"/>
    </xf>
    <xf numFmtId="0" fontId="0" fillId="0" borderId="16" xfId="0" applyBorder="1" applyAlignment="1">
      <alignment horizontal="left" vertical="center" wrapText="1"/>
    </xf>
    <xf numFmtId="0" fontId="61" fillId="9" borderId="1" xfId="0" applyFont="1" applyFill="1" applyBorder="1" applyAlignment="1">
      <alignment horizontal="left" vertical="center" wrapText="1"/>
    </xf>
    <xf numFmtId="0" fontId="2" fillId="0" borderId="15" xfId="0" applyFont="1" applyBorder="1" applyAlignment="1">
      <alignment horizontal="left" vertical="center" wrapText="1"/>
    </xf>
    <xf numFmtId="0" fontId="2" fillId="0" borderId="21" xfId="0" applyFont="1" applyBorder="1" applyAlignment="1">
      <alignment horizontal="left" vertical="center" wrapText="1"/>
    </xf>
    <xf numFmtId="0" fontId="2" fillId="0" borderId="16" xfId="0" applyFont="1" applyBorder="1" applyAlignment="1">
      <alignment horizontal="left" vertical="center" wrapText="1"/>
    </xf>
    <xf numFmtId="0" fontId="43" fillId="2" borderId="15"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44" fillId="0" borderId="15" xfId="0" applyFont="1" applyBorder="1" applyAlignment="1">
      <alignment horizontal="left" vertical="center" wrapText="1"/>
    </xf>
    <xf numFmtId="0" fontId="44" fillId="0" borderId="16" xfId="0" applyFont="1" applyBorder="1" applyAlignment="1">
      <alignment horizontal="left" vertical="center" wrapText="1"/>
    </xf>
    <xf numFmtId="0" fontId="59" fillId="0" borderId="21" xfId="0" applyFont="1" applyBorder="1" applyAlignment="1">
      <alignment horizontal="center" vertical="center" wrapText="1"/>
    </xf>
    <xf numFmtId="0" fontId="59" fillId="0" borderId="16" xfId="0" applyFont="1" applyBorder="1" applyAlignment="1">
      <alignment horizontal="center" vertical="center" wrapText="1"/>
    </xf>
    <xf numFmtId="0" fontId="42" fillId="0" borderId="1"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21" xfId="0" applyFont="1" applyBorder="1" applyAlignment="1">
      <alignment horizontal="center" vertical="center" wrapText="1"/>
    </xf>
    <xf numFmtId="0" fontId="28" fillId="0" borderId="16" xfId="0" applyFont="1" applyBorder="1" applyAlignment="1">
      <alignment horizontal="center" vertical="center" wrapText="1"/>
    </xf>
    <xf numFmtId="0" fontId="40" fillId="2" borderId="15"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29" fillId="0" borderId="15" xfId="0" applyFont="1" applyBorder="1" applyAlignment="1">
      <alignment horizontal="left" vertical="center" wrapText="1"/>
    </xf>
    <xf numFmtId="0" fontId="29" fillId="0" borderId="16" xfId="0" applyFont="1" applyBorder="1" applyAlignment="1">
      <alignment horizontal="left" vertical="center" wrapText="1"/>
    </xf>
    <xf numFmtId="0" fontId="41" fillId="0" borderId="15" xfId="0" applyFont="1" applyBorder="1" applyAlignment="1">
      <alignment horizontal="left" vertical="center" wrapText="1"/>
    </xf>
    <xf numFmtId="0" fontId="41" fillId="0" borderId="16" xfId="0" applyFont="1" applyBorder="1" applyAlignment="1">
      <alignment horizontal="left" vertical="center" wrapText="1"/>
    </xf>
    <xf numFmtId="0" fontId="41" fillId="0" borderId="21" xfId="0" applyFont="1" applyBorder="1" applyAlignment="1">
      <alignment horizontal="left" vertical="center" wrapText="1"/>
    </xf>
    <xf numFmtId="0" fontId="42" fillId="0" borderId="15" xfId="0" applyFont="1" applyBorder="1" applyAlignment="1">
      <alignment horizontal="center" vertical="center" wrapText="1"/>
    </xf>
    <xf numFmtId="0" fontId="42" fillId="0" borderId="21" xfId="0" applyFont="1" applyBorder="1" applyAlignment="1">
      <alignment horizontal="center" vertical="center" wrapText="1"/>
    </xf>
    <xf numFmtId="0" fontId="42" fillId="0" borderId="16" xfId="0" applyFont="1" applyBorder="1" applyAlignment="1">
      <alignment horizontal="center" vertical="center" wrapText="1"/>
    </xf>
    <xf numFmtId="0" fontId="53" fillId="0" borderId="0" xfId="0" applyFont="1" applyAlignment="1">
      <alignment horizontal="center" wrapText="1"/>
    </xf>
    <xf numFmtId="0" fontId="2" fillId="7" borderId="0" xfId="0" applyFont="1" applyFill="1" applyAlignment="1">
      <alignment horizontal="center"/>
    </xf>
    <xf numFmtId="0" fontId="13" fillId="0" borderId="15"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6" xfId="0" applyFont="1" applyBorder="1" applyAlignment="1">
      <alignment horizontal="center" vertical="center" wrapText="1"/>
    </xf>
    <xf numFmtId="0" fontId="40" fillId="2" borderId="1" xfId="0" applyFont="1" applyFill="1" applyBorder="1" applyAlignment="1">
      <alignment horizontal="center" vertical="center" wrapText="1"/>
    </xf>
    <xf numFmtId="0" fontId="41" fillId="0" borderId="1" xfId="0" applyFont="1" applyBorder="1" applyAlignment="1">
      <alignment horizontal="left" vertical="center" wrapText="1"/>
    </xf>
    <xf numFmtId="0" fontId="13" fillId="0" borderId="1" xfId="0" applyFont="1" applyBorder="1" applyAlignment="1">
      <alignment horizontal="center" vertical="center"/>
    </xf>
    <xf numFmtId="10" fontId="12" fillId="0" borderId="1" xfId="0" applyNumberFormat="1" applyFont="1" applyBorder="1" applyAlignment="1">
      <alignment horizontal="center" vertical="center"/>
    </xf>
    <xf numFmtId="0" fontId="14" fillId="0" borderId="0" xfId="0" applyFont="1" applyAlignment="1">
      <alignment horizontal="center" vertical="center" wrapText="1"/>
    </xf>
    <xf numFmtId="0" fontId="15" fillId="0" borderId="0" xfId="6" applyFont="1" applyAlignment="1">
      <alignment horizontal="center"/>
    </xf>
    <xf numFmtId="0" fontId="37" fillId="0" borderId="0" xfId="6" applyFont="1" applyAlignment="1">
      <alignment horizontal="right"/>
    </xf>
    <xf numFmtId="0" fontId="28" fillId="0" borderId="13" xfId="0" applyFont="1" applyBorder="1" applyAlignment="1">
      <alignment horizontal="center"/>
    </xf>
    <xf numFmtId="0" fontId="37" fillId="0" borderId="0" xfId="6" applyFont="1" applyAlignment="1">
      <alignment horizontal="center"/>
    </xf>
    <xf numFmtId="0" fontId="12" fillId="0" borderId="3" xfId="0" applyFont="1" applyBorder="1" applyAlignment="1">
      <alignment horizontal="center" vertical="center"/>
    </xf>
    <xf numFmtId="0" fontId="12" fillId="0" borderId="23" xfId="0" applyFont="1" applyBorder="1" applyAlignment="1">
      <alignment horizontal="center" vertical="center"/>
    </xf>
    <xf numFmtId="0" fontId="12" fillId="0" borderId="4"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10" fontId="12" fillId="0" borderId="24" xfId="0" applyNumberFormat="1" applyFont="1" applyBorder="1" applyAlignment="1">
      <alignment horizontal="center" vertical="center"/>
    </xf>
    <xf numFmtId="10" fontId="12" fillId="0" borderId="26" xfId="0" applyNumberFormat="1" applyFont="1" applyBorder="1" applyAlignment="1">
      <alignment horizontal="center" vertical="center"/>
    </xf>
    <xf numFmtId="10" fontId="12" fillId="0" borderId="9" xfId="0" applyNumberFormat="1" applyFont="1" applyBorder="1" applyAlignment="1">
      <alignment horizontal="center" vertical="center"/>
    </xf>
    <xf numFmtId="0" fontId="13" fillId="0" borderId="23" xfId="0" applyFont="1" applyBorder="1" applyAlignment="1">
      <alignment horizontal="center" vertical="center"/>
    </xf>
    <xf numFmtId="10" fontId="12" fillId="0" borderId="25" xfId="1" applyNumberFormat="1" applyFont="1" applyBorder="1" applyAlignment="1">
      <alignment horizontal="center" vertical="center"/>
    </xf>
    <xf numFmtId="10" fontId="12" fillId="0" borderId="19" xfId="1" applyNumberFormat="1" applyFont="1" applyBorder="1" applyAlignment="1">
      <alignment horizontal="center" vertical="center"/>
    </xf>
    <xf numFmtId="0" fontId="26" fillId="0" borderId="19" xfId="0" applyFont="1" applyBorder="1" applyAlignment="1">
      <alignment horizontal="center"/>
    </xf>
    <xf numFmtId="0" fontId="50" fillId="0" borderId="0" xfId="0" applyFont="1" applyAlignment="1">
      <alignment horizontal="center" wrapText="1"/>
    </xf>
    <xf numFmtId="0" fontId="49" fillId="0" borderId="0" xfId="0" applyFont="1" applyAlignment="1">
      <alignment horizontal="center" wrapText="1"/>
    </xf>
    <xf numFmtId="0" fontId="40" fillId="2" borderId="2" xfId="0" applyFont="1" applyFill="1" applyBorder="1" applyAlignment="1">
      <alignment horizontal="center" vertical="center" wrapText="1"/>
    </xf>
    <xf numFmtId="0" fontId="40" fillId="2" borderId="14"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3" xfId="0" applyFont="1" applyFill="1" applyBorder="1" applyAlignment="1">
      <alignment horizontal="center" vertical="center" wrapText="1"/>
    </xf>
    <xf numFmtId="0" fontId="30" fillId="6" borderId="13" xfId="0" applyFont="1" applyFill="1" applyBorder="1" applyAlignment="1">
      <alignment horizontal="center"/>
    </xf>
    <xf numFmtId="0" fontId="30" fillId="6" borderId="0" xfId="0" applyFont="1" applyFill="1" applyAlignment="1">
      <alignment horizontal="center"/>
    </xf>
    <xf numFmtId="0" fontId="46" fillId="0" borderId="0" xfId="0" applyFont="1" applyAlignment="1">
      <alignment horizontal="center" wrapText="1"/>
    </xf>
    <xf numFmtId="0" fontId="26" fillId="0" borderId="17" xfId="0" applyFont="1" applyBorder="1" applyAlignment="1">
      <alignment horizontal="center"/>
    </xf>
    <xf numFmtId="0" fontId="48" fillId="0" borderId="0" xfId="0" applyFont="1" applyAlignment="1">
      <alignment horizontal="center" wrapText="1"/>
    </xf>
    <xf numFmtId="0" fontId="6" fillId="0" borderId="1" xfId="0" applyFont="1" applyBorder="1" applyAlignment="1">
      <alignment horizontal="center" wrapText="1"/>
    </xf>
    <xf numFmtId="0" fontId="13" fillId="0" borderId="0" xfId="0" applyFont="1" applyAlignment="1">
      <alignment horizontal="center" wrapText="1"/>
    </xf>
    <xf numFmtId="0" fontId="25" fillId="0" borderId="0" xfId="0" applyFont="1" applyAlignment="1">
      <alignment horizontal="center"/>
    </xf>
    <xf numFmtId="0" fontId="56" fillId="0" borderId="0" xfId="8" applyFont="1" applyAlignment="1" applyProtection="1">
      <alignment horizontal="center" wrapText="1"/>
    </xf>
    <xf numFmtId="0" fontId="55" fillId="0" borderId="0" xfId="0" applyFont="1" applyAlignment="1">
      <alignment horizontal="center" wrapText="1"/>
    </xf>
    <xf numFmtId="0" fontId="57" fillId="0" borderId="0" xfId="0" applyFont="1" applyAlignment="1">
      <alignment horizontal="center" wrapText="1"/>
    </xf>
    <xf numFmtId="0" fontId="25" fillId="0" borderId="12" xfId="0" applyFont="1" applyBorder="1" applyAlignment="1">
      <alignment horizontal="center"/>
    </xf>
    <xf numFmtId="0" fontId="25" fillId="0" borderId="13" xfId="0" applyFont="1" applyBorder="1" applyAlignment="1">
      <alignment horizontal="center"/>
    </xf>
    <xf numFmtId="0" fontId="28" fillId="0" borderId="1" xfId="0" applyFont="1" applyBorder="1" applyAlignment="1">
      <alignment horizontal="left" vertical="center"/>
    </xf>
    <xf numFmtId="0" fontId="23" fillId="5" borderId="1" xfId="0" applyFont="1" applyFill="1" applyBorder="1" applyAlignment="1">
      <alignment horizontal="left" vertical="center"/>
    </xf>
    <xf numFmtId="0" fontId="28" fillId="0" borderId="1" xfId="0" applyFont="1" applyBorder="1" applyAlignment="1">
      <alignment horizontal="left"/>
    </xf>
    <xf numFmtId="3" fontId="4" fillId="0" borderId="1" xfId="0" applyNumberFormat="1" applyFont="1" applyBorder="1" applyAlignment="1">
      <alignment horizontal="center"/>
    </xf>
    <xf numFmtId="3" fontId="4" fillId="0" borderId="0" xfId="0" applyNumberFormat="1" applyFont="1" applyAlignment="1">
      <alignment horizontal="center"/>
    </xf>
    <xf numFmtId="0" fontId="53" fillId="0" borderId="0" xfId="0" applyFont="1" applyAlignment="1">
      <alignment horizontal="center"/>
    </xf>
    <xf numFmtId="1" fontId="27" fillId="0" borderId="1" xfId="2" applyNumberFormat="1" applyFont="1" applyBorder="1" applyAlignment="1">
      <alignment horizontal="center"/>
    </xf>
    <xf numFmtId="9" fontId="28" fillId="0" borderId="1" xfId="1" applyFont="1" applyBorder="1" applyAlignment="1">
      <alignment horizontal="center"/>
    </xf>
    <xf numFmtId="0" fontId="58" fillId="5" borderId="20" xfId="0" applyFont="1" applyFill="1" applyBorder="1" applyAlignment="1">
      <alignment horizontal="left" vertical="center"/>
    </xf>
    <xf numFmtId="0" fontId="58" fillId="5" borderId="14" xfId="0" applyFont="1" applyFill="1" applyBorder="1" applyAlignment="1">
      <alignment horizontal="left" vertical="center"/>
    </xf>
    <xf numFmtId="0" fontId="26" fillId="0" borderId="15" xfId="0" applyFont="1" applyBorder="1" applyAlignment="1">
      <alignment horizontal="center"/>
    </xf>
    <xf numFmtId="0" fontId="26" fillId="0" borderId="21" xfId="0" applyFont="1" applyBorder="1" applyAlignment="1">
      <alignment horizontal="center"/>
    </xf>
    <xf numFmtId="0" fontId="26" fillId="0" borderId="16" xfId="0" applyFont="1" applyBorder="1" applyAlignment="1">
      <alignment horizontal="center"/>
    </xf>
    <xf numFmtId="0" fontId="54" fillId="5" borderId="20" xfId="0" applyFont="1" applyFill="1" applyBorder="1" applyAlignment="1">
      <alignment vertical="center"/>
    </xf>
    <xf numFmtId="0" fontId="54" fillId="5" borderId="14" xfId="0" applyFont="1" applyFill="1" applyBorder="1" applyAlignment="1">
      <alignment vertical="center"/>
    </xf>
    <xf numFmtId="0" fontId="37" fillId="0" borderId="15" xfId="0" applyFont="1" applyBorder="1" applyAlignment="1">
      <alignment horizontal="center"/>
    </xf>
    <xf numFmtId="0" fontId="37" fillId="0" borderId="21" xfId="0" applyFont="1" applyBorder="1" applyAlignment="1">
      <alignment horizontal="center"/>
    </xf>
    <xf numFmtId="0" fontId="37" fillId="0" borderId="16" xfId="0" applyFont="1" applyBorder="1" applyAlignment="1">
      <alignment horizontal="center"/>
    </xf>
    <xf numFmtId="0" fontId="54" fillId="5" borderId="20" xfId="0" applyFont="1" applyFill="1" applyBorder="1" applyAlignment="1">
      <alignment horizontal="left" vertical="center"/>
    </xf>
    <xf numFmtId="0" fontId="54" fillId="5" borderId="14" xfId="0" applyFont="1" applyFill="1" applyBorder="1" applyAlignment="1">
      <alignment horizontal="left" vertical="center"/>
    </xf>
    <xf numFmtId="0" fontId="15" fillId="0" borderId="15" xfId="0" applyFont="1" applyBorder="1" applyAlignment="1">
      <alignment horizontal="center"/>
    </xf>
    <xf numFmtId="0" fontId="15" fillId="0" borderId="21" xfId="0" applyFont="1" applyBorder="1" applyAlignment="1">
      <alignment horizontal="center"/>
    </xf>
    <xf numFmtId="0" fontId="15" fillId="0" borderId="16" xfId="0" applyFont="1" applyBorder="1" applyAlignment="1">
      <alignment horizontal="center"/>
    </xf>
    <xf numFmtId="169" fontId="2" fillId="0" borderId="0" xfId="0" applyNumberFormat="1" applyFont="1" applyAlignment="1">
      <alignment horizontal="center"/>
    </xf>
    <xf numFmtId="169" fontId="26" fillId="0" borderId="0" xfId="0" applyNumberFormat="1" applyFont="1" applyAlignment="1">
      <alignment horizontal="center"/>
    </xf>
    <xf numFmtId="0" fontId="0" fillId="14" borderId="0" xfId="0" applyFill="1" applyAlignment="1">
      <alignment horizontal="center"/>
    </xf>
    <xf numFmtId="0" fontId="73" fillId="0" borderId="0" xfId="12" applyFont="1" applyAlignment="1">
      <alignment horizontal="center"/>
    </xf>
    <xf numFmtId="0" fontId="0" fillId="0" borderId="20" xfId="0" applyBorder="1" applyAlignment="1">
      <alignment horizontal="center" vertical="center" wrapText="1"/>
    </xf>
    <xf numFmtId="0" fontId="0" fillId="0" borderId="2" xfId="0" applyBorder="1" applyAlignment="1">
      <alignment horizontal="center" vertical="center" wrapText="1"/>
    </xf>
    <xf numFmtId="0" fontId="0" fillId="0" borderId="14" xfId="0" applyBorder="1" applyAlignment="1">
      <alignment horizontal="center" vertical="center" wrapText="1"/>
    </xf>
  </cellXfs>
  <cellStyles count="13">
    <cellStyle name="Comma" xfId="2" builtinId="3"/>
    <cellStyle name="Comma 2" xfId="3"/>
    <cellStyle name="Comma 2 2" xfId="10"/>
    <cellStyle name="Comma 3" xfId="4"/>
    <cellStyle name="Currency 2" xfId="5"/>
    <cellStyle name="Currency 3" xfId="9"/>
    <cellStyle name="Hyperlink" xfId="8" builtinId="8"/>
    <cellStyle name="Normal" xfId="0" builtinId="0"/>
    <cellStyle name="Normal 2" xfId="11"/>
    <cellStyle name="Normal 3" xfId="6"/>
    <cellStyle name="Normal 4" xfId="12"/>
    <cellStyle name="Percent" xfId="1" builtinId="5"/>
    <cellStyle name="Percent 2" xfId="7"/>
  </cellStyles>
  <dxfs count="7">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1</xdr:col>
      <xdr:colOff>34637</xdr:colOff>
      <xdr:row>65</xdr:row>
      <xdr:rowOff>103909</xdr:rowOff>
    </xdr:from>
    <xdr:to>
      <xdr:col>6</xdr:col>
      <xdr:colOff>45220</xdr:colOff>
      <xdr:row>87</xdr:row>
      <xdr:rowOff>86591</xdr:rowOff>
    </xdr:to>
    <xdr:pic>
      <xdr:nvPicPr>
        <xdr:cNvPr id="15" name="Picture 14">
          <a:extLst>
            <a:ext uri="{FF2B5EF4-FFF2-40B4-BE49-F238E27FC236}">
              <a16:creationId xmlns:a16="http://schemas.microsoft.com/office/drawing/2014/main" xmlns="" id="{00000000-0008-0000-02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8820" y="13750636"/>
          <a:ext cx="8559030" cy="4814455"/>
        </a:xfrm>
        <a:prstGeom prst="rect">
          <a:avLst/>
        </a:prstGeom>
      </xdr:spPr>
    </xdr:pic>
    <xdr:clientData/>
  </xdr:twoCellAnchor>
  <xdr:twoCellAnchor editAs="oneCell">
    <xdr:from>
      <xdr:col>2</xdr:col>
      <xdr:colOff>-1</xdr:colOff>
      <xdr:row>90</xdr:row>
      <xdr:rowOff>121227</xdr:rowOff>
    </xdr:from>
    <xdr:to>
      <xdr:col>6</xdr:col>
      <xdr:colOff>71197</xdr:colOff>
      <xdr:row>114</xdr:row>
      <xdr:rowOff>1</xdr:rowOff>
    </xdr:to>
    <xdr:pic>
      <xdr:nvPicPr>
        <xdr:cNvPr id="16" name="Picture 15">
          <a:extLst>
            <a:ext uri="{FF2B5EF4-FFF2-40B4-BE49-F238E27FC236}">
              <a16:creationId xmlns:a16="http://schemas.microsoft.com/office/drawing/2014/main" xmlns="" id="{00000000-0008-0000-02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0772" y="19223182"/>
          <a:ext cx="8559031" cy="4814455"/>
        </a:xfrm>
        <a:prstGeom prst="rect">
          <a:avLst/>
        </a:prstGeom>
      </xdr:spPr>
    </xdr:pic>
    <xdr:clientData/>
  </xdr:twoCellAnchor>
  <xdr:twoCellAnchor editAs="oneCell">
    <xdr:from>
      <xdr:col>8</xdr:col>
      <xdr:colOff>60613</xdr:colOff>
      <xdr:row>132</xdr:row>
      <xdr:rowOff>121227</xdr:rowOff>
    </xdr:from>
    <xdr:to>
      <xdr:col>15</xdr:col>
      <xdr:colOff>301336</xdr:colOff>
      <xdr:row>160</xdr:row>
      <xdr:rowOff>46759</xdr:rowOff>
    </xdr:to>
    <xdr:pic>
      <xdr:nvPicPr>
        <xdr:cNvPr id="17" name="Picture 16">
          <a:extLst>
            <a:ext uri="{FF2B5EF4-FFF2-40B4-BE49-F238E27FC236}">
              <a16:creationId xmlns:a16="http://schemas.microsoft.com/office/drawing/2014/main" xmlns="" id="{00000000-0008-0000-02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7227" y="27761045"/>
          <a:ext cx="10058401" cy="5657850"/>
        </a:xfrm>
        <a:prstGeom prst="rect">
          <a:avLst/>
        </a:prstGeom>
      </xdr:spPr>
    </xdr:pic>
    <xdr:clientData/>
  </xdr:twoCellAnchor>
  <xdr:twoCellAnchor editAs="oneCell">
    <xdr:from>
      <xdr:col>8</xdr:col>
      <xdr:colOff>329045</xdr:colOff>
      <xdr:row>164</xdr:row>
      <xdr:rowOff>69272</xdr:rowOff>
    </xdr:from>
    <xdr:to>
      <xdr:col>15</xdr:col>
      <xdr:colOff>569768</xdr:colOff>
      <xdr:row>190</xdr:row>
      <xdr:rowOff>167986</xdr:rowOff>
    </xdr:to>
    <xdr:pic>
      <xdr:nvPicPr>
        <xdr:cNvPr id="18" name="Picture 17">
          <a:extLst>
            <a:ext uri="{FF2B5EF4-FFF2-40B4-BE49-F238E27FC236}">
              <a16:creationId xmlns:a16="http://schemas.microsoft.com/office/drawing/2014/main" xmlns="" id="{00000000-0008-0000-02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64091" y="34411227"/>
          <a:ext cx="10058400" cy="5657850"/>
        </a:xfrm>
        <a:prstGeom prst="rect">
          <a:avLst/>
        </a:prstGeom>
      </xdr:spPr>
    </xdr:pic>
    <xdr:clientData/>
  </xdr:twoCellAnchor>
  <xdr:twoCellAnchor editAs="oneCell">
    <xdr:from>
      <xdr:col>1</xdr:col>
      <xdr:colOff>25977</xdr:colOff>
      <xdr:row>128</xdr:row>
      <xdr:rowOff>69274</xdr:rowOff>
    </xdr:from>
    <xdr:to>
      <xdr:col>6</xdr:col>
      <xdr:colOff>51954</xdr:colOff>
      <xdr:row>150</xdr:row>
      <xdr:rowOff>69275</xdr:rowOff>
    </xdr:to>
    <xdr:pic>
      <xdr:nvPicPr>
        <xdr:cNvPr id="19" name="Picture 18">
          <a:extLst>
            <a:ext uri="{FF2B5EF4-FFF2-40B4-BE49-F238E27FC236}">
              <a16:creationId xmlns:a16="http://schemas.microsoft.com/office/drawing/2014/main" xmlns="" id="{00000000-0008-0000-02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499" y="26947092"/>
          <a:ext cx="8589819" cy="4831774"/>
        </a:xfrm>
        <a:prstGeom prst="rect">
          <a:avLst/>
        </a:prstGeom>
      </xdr:spPr>
    </xdr:pic>
    <xdr:clientData/>
  </xdr:twoCellAnchor>
  <xdr:twoCellAnchor editAs="oneCell">
    <xdr:from>
      <xdr:col>1</xdr:col>
      <xdr:colOff>34635</xdr:colOff>
      <xdr:row>153</xdr:row>
      <xdr:rowOff>105207</xdr:rowOff>
    </xdr:from>
    <xdr:to>
      <xdr:col>6</xdr:col>
      <xdr:colOff>59458</xdr:colOff>
      <xdr:row>177</xdr:row>
      <xdr:rowOff>0</xdr:rowOff>
    </xdr:to>
    <xdr:pic>
      <xdr:nvPicPr>
        <xdr:cNvPr id="20" name="Picture 19">
          <a:extLst>
            <a:ext uri="{FF2B5EF4-FFF2-40B4-BE49-F238E27FC236}">
              <a16:creationId xmlns:a16="http://schemas.microsoft.com/office/drawing/2014/main" xmlns="" id="{00000000-0008-0000-0200-00001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8816" y="32438252"/>
          <a:ext cx="8587509" cy="4830475"/>
        </a:xfrm>
        <a:prstGeom prst="rect">
          <a:avLst/>
        </a:prstGeom>
      </xdr:spPr>
    </xdr:pic>
    <xdr:clientData/>
  </xdr:twoCellAnchor>
  <xdr:twoCellAnchor editAs="oneCell">
    <xdr:from>
      <xdr:col>3</xdr:col>
      <xdr:colOff>981723</xdr:colOff>
      <xdr:row>257</xdr:row>
      <xdr:rowOff>188334</xdr:rowOff>
    </xdr:from>
    <xdr:to>
      <xdr:col>6</xdr:col>
      <xdr:colOff>30450</xdr:colOff>
      <xdr:row>272</xdr:row>
      <xdr:rowOff>47624</xdr:rowOff>
    </xdr:to>
    <xdr:pic>
      <xdr:nvPicPr>
        <xdr:cNvPr id="21" name="Picture 20">
          <a:extLst>
            <a:ext uri="{FF2B5EF4-FFF2-40B4-BE49-F238E27FC236}">
              <a16:creationId xmlns:a16="http://schemas.microsoft.com/office/drawing/2014/main" xmlns="" id="{00000000-0008-0000-0200-00001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54071" y="50432709"/>
          <a:ext cx="5955579" cy="3121603"/>
        </a:xfrm>
        <a:prstGeom prst="rect">
          <a:avLst/>
        </a:prstGeom>
      </xdr:spPr>
    </xdr:pic>
    <xdr:clientData/>
  </xdr:twoCellAnchor>
  <xdr:twoCellAnchor editAs="oneCell">
    <xdr:from>
      <xdr:col>1</xdr:col>
      <xdr:colOff>34635</xdr:colOff>
      <xdr:row>279</xdr:row>
      <xdr:rowOff>95249</xdr:rowOff>
    </xdr:from>
    <xdr:to>
      <xdr:col>6</xdr:col>
      <xdr:colOff>74089</xdr:colOff>
      <xdr:row>303</xdr:row>
      <xdr:rowOff>-1</xdr:rowOff>
    </xdr:to>
    <xdr:pic>
      <xdr:nvPicPr>
        <xdr:cNvPr id="22" name="Picture 21">
          <a:extLst>
            <a:ext uri="{FF2B5EF4-FFF2-40B4-BE49-F238E27FC236}">
              <a16:creationId xmlns:a16="http://schemas.microsoft.com/office/drawing/2014/main" xmlns="" id="{00000000-0008-0000-02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3146" y="54935437"/>
          <a:ext cx="8603782" cy="4524375"/>
        </a:xfrm>
        <a:prstGeom prst="rect">
          <a:avLst/>
        </a:prstGeom>
      </xdr:spPr>
    </xdr:pic>
    <xdr:clientData/>
  </xdr:twoCellAnchor>
  <xdr:twoCellAnchor editAs="oneCell">
    <xdr:from>
      <xdr:col>2</xdr:col>
      <xdr:colOff>62670</xdr:colOff>
      <xdr:row>254</xdr:row>
      <xdr:rowOff>43513</xdr:rowOff>
    </xdr:from>
    <xdr:to>
      <xdr:col>3</xdr:col>
      <xdr:colOff>881062</xdr:colOff>
      <xdr:row>274</xdr:row>
      <xdr:rowOff>24369</xdr:rowOff>
    </xdr:to>
    <xdr:pic>
      <xdr:nvPicPr>
        <xdr:cNvPr id="23" name="Picture 22">
          <a:extLst>
            <a:ext uri="{FF2B5EF4-FFF2-40B4-BE49-F238E27FC236}">
              <a16:creationId xmlns:a16="http://schemas.microsoft.com/office/drawing/2014/main" xmlns=""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213508" y="50745799"/>
          <a:ext cx="4148044" cy="2184471"/>
        </a:xfrm>
        <a:prstGeom prst="rect">
          <a:avLst/>
        </a:prstGeom>
      </xdr:spPr>
    </xdr:pic>
    <xdr:clientData/>
  </xdr:twoCellAnchor>
  <xdr:twoCellAnchor editAs="oneCell">
    <xdr:from>
      <xdr:col>10</xdr:col>
      <xdr:colOff>190499</xdr:colOff>
      <xdr:row>277</xdr:row>
      <xdr:rowOff>95250</xdr:rowOff>
    </xdr:from>
    <xdr:to>
      <xdr:col>17</xdr:col>
      <xdr:colOff>385761</xdr:colOff>
      <xdr:row>306</xdr:row>
      <xdr:rowOff>180975</xdr:rowOff>
    </xdr:to>
    <xdr:pic>
      <xdr:nvPicPr>
        <xdr:cNvPr id="24" name="Picture 23">
          <a:extLst>
            <a:ext uri="{FF2B5EF4-FFF2-40B4-BE49-F238E27FC236}">
              <a16:creationId xmlns:a16="http://schemas.microsoft.com/office/drawing/2014/main" xmlns="" id="{00000000-0008-0000-0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25436" y="54554438"/>
          <a:ext cx="10058400" cy="5657850"/>
        </a:xfrm>
        <a:prstGeom prst="rect">
          <a:avLst/>
        </a:prstGeom>
      </xdr:spPr>
    </xdr:pic>
    <xdr:clientData/>
  </xdr:twoCellAnchor>
  <xdr:twoCellAnchor editAs="oneCell">
    <xdr:from>
      <xdr:col>3</xdr:col>
      <xdr:colOff>1108363</xdr:colOff>
      <xdr:row>207</xdr:row>
      <xdr:rowOff>155863</xdr:rowOff>
    </xdr:from>
    <xdr:to>
      <xdr:col>4</xdr:col>
      <xdr:colOff>589372</xdr:colOff>
      <xdr:row>216</xdr:row>
      <xdr:rowOff>99060</xdr:rowOff>
    </xdr:to>
    <xdr:pic>
      <xdr:nvPicPr>
        <xdr:cNvPr id="14" name="Picture 13">
          <a:extLst>
            <a:ext uri="{FF2B5EF4-FFF2-40B4-BE49-F238E27FC236}">
              <a16:creationId xmlns:a16="http://schemas.microsoft.com/office/drawing/2014/main" xmlns="" id="{00000000-0008-0000-02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82" y="43849636"/>
          <a:ext cx="2633472" cy="1813560"/>
        </a:xfrm>
        <a:prstGeom prst="rect">
          <a:avLst/>
        </a:prstGeom>
      </xdr:spPr>
    </xdr:pic>
    <xdr:clientData/>
  </xdr:twoCellAnchor>
  <xdr:twoCellAnchor editAs="oneCell">
    <xdr:from>
      <xdr:col>8</xdr:col>
      <xdr:colOff>510886</xdr:colOff>
      <xdr:row>196</xdr:row>
      <xdr:rowOff>155864</xdr:rowOff>
    </xdr:from>
    <xdr:to>
      <xdr:col>10</xdr:col>
      <xdr:colOff>459486</xdr:colOff>
      <xdr:row>203</xdr:row>
      <xdr:rowOff>220287</xdr:rowOff>
    </xdr:to>
    <xdr:pic>
      <xdr:nvPicPr>
        <xdr:cNvPr id="25" name="Picture 24">
          <a:extLst>
            <a:ext uri="{FF2B5EF4-FFF2-40B4-BE49-F238E27FC236}">
              <a16:creationId xmlns:a16="http://schemas.microsoft.com/office/drawing/2014/main" xmlns="" id="{00000000-0008-0000-02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27773" y="41234591"/>
          <a:ext cx="2633472" cy="1813560"/>
        </a:xfrm>
        <a:prstGeom prst="rect">
          <a:avLst/>
        </a:prstGeom>
      </xdr:spPr>
    </xdr:pic>
    <xdr:clientData/>
  </xdr:twoCellAnchor>
  <xdr:twoCellAnchor editAs="oneCell">
    <xdr:from>
      <xdr:col>3</xdr:col>
      <xdr:colOff>1117022</xdr:colOff>
      <xdr:row>17</xdr:row>
      <xdr:rowOff>190500</xdr:rowOff>
    </xdr:from>
    <xdr:to>
      <xdr:col>4</xdr:col>
      <xdr:colOff>598030</xdr:colOff>
      <xdr:row>26</xdr:row>
      <xdr:rowOff>133697</xdr:rowOff>
    </xdr:to>
    <xdr:pic>
      <xdr:nvPicPr>
        <xdr:cNvPr id="26" name="Picture 25">
          <a:extLst>
            <a:ext uri="{FF2B5EF4-FFF2-40B4-BE49-F238E27FC236}">
              <a16:creationId xmlns:a16="http://schemas.microsoft.com/office/drawing/2014/main" xmlns="" id="{00000000-0008-0000-02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29000" y="3983182"/>
          <a:ext cx="2633470" cy="18135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721950</xdr:colOff>
      <xdr:row>19</xdr:row>
      <xdr:rowOff>121227</xdr:rowOff>
    </xdr:from>
    <xdr:to>
      <xdr:col>4</xdr:col>
      <xdr:colOff>1048230</xdr:colOff>
      <xdr:row>33</xdr:row>
      <xdr:rowOff>32470</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2992" y="4329545"/>
          <a:ext cx="3873742" cy="24050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66675</xdr:colOff>
      <xdr:row>3</xdr:row>
      <xdr:rowOff>57150</xdr:rowOff>
    </xdr:from>
    <xdr:to>
      <xdr:col>15</xdr:col>
      <xdr:colOff>26670</xdr:colOff>
      <xdr:row>7</xdr:row>
      <xdr:rowOff>514350</xdr:rowOff>
    </xdr:to>
    <xdr:pic>
      <xdr:nvPicPr>
        <xdr:cNvPr id="2" name="Picture 1" descr="C:\Users\Pankaj\Documents\smart-logo.png">
          <a:extLst>
            <a:ext uri="{FF2B5EF4-FFF2-40B4-BE49-F238E27FC236}">
              <a16:creationId xmlns:a16="http://schemas.microsoft.com/office/drawing/2014/main" xmlns=""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3700" y="628650"/>
          <a:ext cx="1464945" cy="1219200"/>
        </a:xfrm>
        <a:prstGeom prst="rect">
          <a:avLst/>
        </a:prstGeom>
        <a:noFill/>
        <a:ln>
          <a:noFill/>
        </a:ln>
      </xdr:spPr>
    </xdr:pic>
    <xdr:clientData/>
  </xdr:twoCellAnchor>
  <xdr:twoCellAnchor>
    <xdr:from>
      <xdr:col>7</xdr:col>
      <xdr:colOff>59872</xdr:colOff>
      <xdr:row>387</xdr:row>
      <xdr:rowOff>108857</xdr:rowOff>
    </xdr:from>
    <xdr:to>
      <xdr:col>9</xdr:col>
      <xdr:colOff>325211</xdr:colOff>
      <xdr:row>387</xdr:row>
      <xdr:rowOff>108857</xdr:rowOff>
    </xdr:to>
    <xdr:cxnSp macro="">
      <xdr:nvCxnSpPr>
        <xdr:cNvPr id="42" name="Straight Arrow Connector 41">
          <a:extLst>
            <a:ext uri="{FF2B5EF4-FFF2-40B4-BE49-F238E27FC236}">
              <a16:creationId xmlns:a16="http://schemas.microsoft.com/office/drawing/2014/main" xmlns="" id="{00000000-0008-0000-0600-00002A000000}"/>
            </a:ext>
          </a:extLst>
        </xdr:cNvPr>
        <xdr:cNvCxnSpPr/>
      </xdr:nvCxnSpPr>
      <xdr:spPr>
        <a:xfrm>
          <a:off x="2107747" y="154713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389</xdr:row>
      <xdr:rowOff>100693</xdr:rowOff>
    </xdr:from>
    <xdr:to>
      <xdr:col>10</xdr:col>
      <xdr:colOff>12246</xdr:colOff>
      <xdr:row>389</xdr:row>
      <xdr:rowOff>100693</xdr:rowOff>
    </xdr:to>
    <xdr:cxnSp macro="">
      <xdr:nvCxnSpPr>
        <xdr:cNvPr id="43" name="Straight Arrow Connector 42">
          <a:extLst>
            <a:ext uri="{FF2B5EF4-FFF2-40B4-BE49-F238E27FC236}">
              <a16:creationId xmlns:a16="http://schemas.microsoft.com/office/drawing/2014/main" xmlns="" id="{00000000-0008-0000-0600-00002B000000}"/>
            </a:ext>
          </a:extLst>
        </xdr:cNvPr>
        <xdr:cNvCxnSpPr/>
      </xdr:nvCxnSpPr>
      <xdr:spPr>
        <a:xfrm>
          <a:off x="2143125" y="235811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40822</xdr:colOff>
      <xdr:row>391</xdr:row>
      <xdr:rowOff>68036</xdr:rowOff>
    </xdr:from>
    <xdr:to>
      <xdr:col>9</xdr:col>
      <xdr:colOff>325211</xdr:colOff>
      <xdr:row>391</xdr:row>
      <xdr:rowOff>68036</xdr:rowOff>
    </xdr:to>
    <xdr:cxnSp macro="">
      <xdr:nvCxnSpPr>
        <xdr:cNvPr id="44" name="Straight Arrow Connector 43">
          <a:extLst>
            <a:ext uri="{FF2B5EF4-FFF2-40B4-BE49-F238E27FC236}">
              <a16:creationId xmlns:a16="http://schemas.microsoft.com/office/drawing/2014/main" xmlns="" id="{00000000-0008-0000-0600-00002C000000}"/>
            </a:ext>
          </a:extLst>
        </xdr:cNvPr>
        <xdr:cNvCxnSpPr/>
      </xdr:nvCxnSpPr>
      <xdr:spPr>
        <a:xfrm>
          <a:off x="2088697" y="3144611"/>
          <a:ext cx="98923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172811</xdr:colOff>
      <xdr:row>393</xdr:row>
      <xdr:rowOff>136072</xdr:rowOff>
    </xdr:from>
    <xdr:to>
      <xdr:col>10</xdr:col>
      <xdr:colOff>80282</xdr:colOff>
      <xdr:row>393</xdr:row>
      <xdr:rowOff>136072</xdr:rowOff>
    </xdr:to>
    <xdr:cxnSp macro="">
      <xdr:nvCxnSpPr>
        <xdr:cNvPr id="45" name="Straight Arrow Connector 44">
          <a:extLst>
            <a:ext uri="{FF2B5EF4-FFF2-40B4-BE49-F238E27FC236}">
              <a16:creationId xmlns:a16="http://schemas.microsoft.com/office/drawing/2014/main" xmlns="" id="{00000000-0008-0000-0600-00002D000000}"/>
            </a:ext>
          </a:extLst>
        </xdr:cNvPr>
        <xdr:cNvCxnSpPr/>
      </xdr:nvCxnSpPr>
      <xdr:spPr>
        <a:xfrm>
          <a:off x="2220686" y="4031797"/>
          <a:ext cx="96474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395</xdr:row>
      <xdr:rowOff>118383</xdr:rowOff>
    </xdr:from>
    <xdr:to>
      <xdr:col>9</xdr:col>
      <xdr:colOff>352426</xdr:colOff>
      <xdr:row>395</xdr:row>
      <xdr:rowOff>118383</xdr:rowOff>
    </xdr:to>
    <xdr:cxnSp macro="">
      <xdr:nvCxnSpPr>
        <xdr:cNvPr id="46" name="Straight Arrow Connector 45">
          <a:extLst>
            <a:ext uri="{FF2B5EF4-FFF2-40B4-BE49-F238E27FC236}">
              <a16:creationId xmlns:a16="http://schemas.microsoft.com/office/drawing/2014/main" xmlns="" id="{00000000-0008-0000-0600-00002E000000}"/>
            </a:ext>
          </a:extLst>
        </xdr:cNvPr>
        <xdr:cNvCxnSpPr/>
      </xdr:nvCxnSpPr>
      <xdr:spPr>
        <a:xfrm>
          <a:off x="2106387" y="483325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399</xdr:row>
      <xdr:rowOff>146957</xdr:rowOff>
    </xdr:from>
    <xdr:to>
      <xdr:col>9</xdr:col>
      <xdr:colOff>252846</xdr:colOff>
      <xdr:row>399</xdr:row>
      <xdr:rowOff>152152</xdr:rowOff>
    </xdr:to>
    <xdr:cxnSp macro="">
      <xdr:nvCxnSpPr>
        <xdr:cNvPr id="47" name="Straight Arrow Connector 46">
          <a:extLst>
            <a:ext uri="{FF2B5EF4-FFF2-40B4-BE49-F238E27FC236}">
              <a16:creationId xmlns:a16="http://schemas.microsoft.com/office/drawing/2014/main" xmlns="" id="{00000000-0008-0000-0600-00002F000000}"/>
            </a:ext>
          </a:extLst>
        </xdr:cNvPr>
        <xdr:cNvCxnSpPr/>
      </xdr:nvCxnSpPr>
      <xdr:spPr>
        <a:xfrm>
          <a:off x="1917247" y="682398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401</xdr:row>
      <xdr:rowOff>136072</xdr:rowOff>
    </xdr:from>
    <xdr:to>
      <xdr:col>9</xdr:col>
      <xdr:colOff>257175</xdr:colOff>
      <xdr:row>401</xdr:row>
      <xdr:rowOff>136072</xdr:rowOff>
    </xdr:to>
    <xdr:cxnSp macro="">
      <xdr:nvCxnSpPr>
        <xdr:cNvPr id="63" name="Straight Arrow Connector 62">
          <a:extLst>
            <a:ext uri="{FF2B5EF4-FFF2-40B4-BE49-F238E27FC236}">
              <a16:creationId xmlns:a16="http://schemas.microsoft.com/office/drawing/2014/main" xmlns="" id="{00000000-0008-0000-0600-00003F000000}"/>
            </a:ext>
          </a:extLst>
        </xdr:cNvPr>
        <xdr:cNvCxnSpPr/>
      </xdr:nvCxnSpPr>
      <xdr:spPr>
        <a:xfrm>
          <a:off x="1926771" y="759414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400</xdr:row>
      <xdr:rowOff>9525</xdr:rowOff>
    </xdr:from>
    <xdr:to>
      <xdr:col>11</xdr:col>
      <xdr:colOff>314325</xdr:colOff>
      <xdr:row>400</xdr:row>
      <xdr:rowOff>295275</xdr:rowOff>
    </xdr:to>
    <xdr:cxnSp macro="">
      <xdr:nvCxnSpPr>
        <xdr:cNvPr id="64" name="Straight Arrow Connector 63">
          <a:extLst>
            <a:ext uri="{FF2B5EF4-FFF2-40B4-BE49-F238E27FC236}">
              <a16:creationId xmlns:a16="http://schemas.microsoft.com/office/drawing/2014/main" xmlns="" id="{00000000-0008-0000-0600-000040000000}"/>
            </a:ext>
          </a:extLst>
        </xdr:cNvPr>
        <xdr:cNvCxnSpPr/>
      </xdr:nvCxnSpPr>
      <xdr:spPr>
        <a:xfrm flipV="1">
          <a:off x="3762375" y="7077075"/>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396</xdr:row>
      <xdr:rowOff>38101</xdr:rowOff>
    </xdr:from>
    <xdr:to>
      <xdr:col>12</xdr:col>
      <xdr:colOff>141515</xdr:colOff>
      <xdr:row>396</xdr:row>
      <xdr:rowOff>371475</xdr:rowOff>
    </xdr:to>
    <xdr:cxnSp macro="">
      <xdr:nvCxnSpPr>
        <xdr:cNvPr id="65" name="Straight Arrow Connector 64">
          <a:extLst>
            <a:ext uri="{FF2B5EF4-FFF2-40B4-BE49-F238E27FC236}">
              <a16:creationId xmlns:a16="http://schemas.microsoft.com/office/drawing/2014/main" xmlns="" id="{00000000-0008-0000-0600-000041000000}"/>
            </a:ext>
          </a:extLst>
        </xdr:cNvPr>
        <xdr:cNvCxnSpPr/>
      </xdr:nvCxnSpPr>
      <xdr:spPr>
        <a:xfrm flipV="1">
          <a:off x="3951515" y="516255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398</xdr:row>
      <xdr:rowOff>2721</xdr:rowOff>
    </xdr:from>
    <xdr:to>
      <xdr:col>11</xdr:col>
      <xdr:colOff>12246</xdr:colOff>
      <xdr:row>398</xdr:row>
      <xdr:rowOff>137802</xdr:rowOff>
    </xdr:to>
    <xdr:cxnSp macro="">
      <xdr:nvCxnSpPr>
        <xdr:cNvPr id="66" name="Straight Arrow Connector 65">
          <a:extLst>
            <a:ext uri="{FF2B5EF4-FFF2-40B4-BE49-F238E27FC236}">
              <a16:creationId xmlns:a16="http://schemas.microsoft.com/office/drawing/2014/main" xmlns="" id="{00000000-0008-0000-0600-000042000000}"/>
            </a:ext>
          </a:extLst>
        </xdr:cNvPr>
        <xdr:cNvCxnSpPr/>
      </xdr:nvCxnSpPr>
      <xdr:spPr>
        <a:xfrm flipH="1" flipV="1">
          <a:off x="3105150" y="6489246"/>
          <a:ext cx="364671" cy="13508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397</xdr:row>
      <xdr:rowOff>870857</xdr:rowOff>
    </xdr:from>
    <xdr:to>
      <xdr:col>15</xdr:col>
      <xdr:colOff>326571</xdr:colOff>
      <xdr:row>399</xdr:row>
      <xdr:rowOff>40823</xdr:rowOff>
    </xdr:to>
    <xdr:cxnSp macro="">
      <xdr:nvCxnSpPr>
        <xdr:cNvPr id="67" name="Straight Arrow Connector 66">
          <a:extLst>
            <a:ext uri="{FF2B5EF4-FFF2-40B4-BE49-F238E27FC236}">
              <a16:creationId xmlns:a16="http://schemas.microsoft.com/office/drawing/2014/main" xmlns="" id="{00000000-0008-0000-0600-000043000000}"/>
            </a:ext>
          </a:extLst>
        </xdr:cNvPr>
        <xdr:cNvCxnSpPr/>
      </xdr:nvCxnSpPr>
      <xdr:spPr>
        <a:xfrm flipV="1">
          <a:off x="4663168" y="6404882"/>
          <a:ext cx="530678" cy="31296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394</xdr:row>
      <xdr:rowOff>28576</xdr:rowOff>
    </xdr:from>
    <xdr:to>
      <xdr:col>12</xdr:col>
      <xdr:colOff>145596</xdr:colOff>
      <xdr:row>394</xdr:row>
      <xdr:rowOff>361950</xdr:rowOff>
    </xdr:to>
    <xdr:cxnSp macro="">
      <xdr:nvCxnSpPr>
        <xdr:cNvPr id="68" name="Straight Arrow Connector 67">
          <a:extLst>
            <a:ext uri="{FF2B5EF4-FFF2-40B4-BE49-F238E27FC236}">
              <a16:creationId xmlns:a16="http://schemas.microsoft.com/office/drawing/2014/main" xmlns="" id="{00000000-0008-0000-0600-000044000000}"/>
            </a:ext>
          </a:extLst>
        </xdr:cNvPr>
        <xdr:cNvCxnSpPr/>
      </xdr:nvCxnSpPr>
      <xdr:spPr>
        <a:xfrm flipV="1">
          <a:off x="3955596" y="433387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168729</xdr:colOff>
      <xdr:row>393</xdr:row>
      <xdr:rowOff>379640</xdr:rowOff>
    </xdr:from>
    <xdr:to>
      <xdr:col>15</xdr:col>
      <xdr:colOff>318407</xdr:colOff>
      <xdr:row>394</xdr:row>
      <xdr:rowOff>285750</xdr:rowOff>
    </xdr:to>
    <xdr:cxnSp macro="">
      <xdr:nvCxnSpPr>
        <xdr:cNvPr id="69" name="Straight Arrow Connector 68">
          <a:extLst>
            <a:ext uri="{FF2B5EF4-FFF2-40B4-BE49-F238E27FC236}">
              <a16:creationId xmlns:a16="http://schemas.microsoft.com/office/drawing/2014/main" xmlns="" id="{00000000-0008-0000-0600-000045000000}"/>
            </a:ext>
          </a:extLst>
        </xdr:cNvPr>
        <xdr:cNvCxnSpPr/>
      </xdr:nvCxnSpPr>
      <xdr:spPr>
        <a:xfrm flipV="1">
          <a:off x="4683579" y="4275365"/>
          <a:ext cx="502103" cy="31568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155121</xdr:colOff>
      <xdr:row>392</xdr:row>
      <xdr:rowOff>35379</xdr:rowOff>
    </xdr:from>
    <xdr:to>
      <xdr:col>12</xdr:col>
      <xdr:colOff>155121</xdr:colOff>
      <xdr:row>392</xdr:row>
      <xdr:rowOff>368753</xdr:rowOff>
    </xdr:to>
    <xdr:cxnSp macro="">
      <xdr:nvCxnSpPr>
        <xdr:cNvPr id="71" name="Straight Arrow Connector 70">
          <a:extLst>
            <a:ext uri="{FF2B5EF4-FFF2-40B4-BE49-F238E27FC236}">
              <a16:creationId xmlns:a16="http://schemas.microsoft.com/office/drawing/2014/main" xmlns="" id="{00000000-0008-0000-0600-000047000000}"/>
            </a:ext>
          </a:extLst>
        </xdr:cNvPr>
        <xdr:cNvCxnSpPr/>
      </xdr:nvCxnSpPr>
      <xdr:spPr>
        <a:xfrm flipV="1">
          <a:off x="3965121" y="3521529"/>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100692</xdr:colOff>
      <xdr:row>391</xdr:row>
      <xdr:rowOff>141514</xdr:rowOff>
    </xdr:from>
    <xdr:to>
      <xdr:col>20</xdr:col>
      <xdr:colOff>74839</xdr:colOff>
      <xdr:row>391</xdr:row>
      <xdr:rowOff>151038</xdr:rowOff>
    </xdr:to>
    <xdr:cxnSp macro="">
      <xdr:nvCxnSpPr>
        <xdr:cNvPr id="72" name="Straight Arrow Connector 71">
          <a:extLst>
            <a:ext uri="{FF2B5EF4-FFF2-40B4-BE49-F238E27FC236}">
              <a16:creationId xmlns:a16="http://schemas.microsoft.com/office/drawing/2014/main" xmlns="" id="{00000000-0008-0000-0600-000048000000}"/>
            </a:ext>
          </a:extLst>
        </xdr:cNvPr>
        <xdr:cNvCxnSpPr/>
      </xdr:nvCxnSpPr>
      <xdr:spPr>
        <a:xfrm flipV="1">
          <a:off x="6377667" y="3218089"/>
          <a:ext cx="326572" cy="95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390</xdr:row>
      <xdr:rowOff>28575</xdr:rowOff>
    </xdr:from>
    <xdr:to>
      <xdr:col>12</xdr:col>
      <xdr:colOff>145596</xdr:colOff>
      <xdr:row>390</xdr:row>
      <xdr:rowOff>361949</xdr:rowOff>
    </xdr:to>
    <xdr:cxnSp macro="">
      <xdr:nvCxnSpPr>
        <xdr:cNvPr id="73" name="Straight Arrow Connector 72">
          <a:extLst>
            <a:ext uri="{FF2B5EF4-FFF2-40B4-BE49-F238E27FC236}">
              <a16:creationId xmlns:a16="http://schemas.microsoft.com/office/drawing/2014/main" xmlns="" id="{00000000-0008-0000-0600-000049000000}"/>
            </a:ext>
          </a:extLst>
        </xdr:cNvPr>
        <xdr:cNvCxnSpPr/>
      </xdr:nvCxnSpPr>
      <xdr:spPr>
        <a:xfrm flipV="1">
          <a:off x="3955596" y="26955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388</xdr:row>
      <xdr:rowOff>38100</xdr:rowOff>
    </xdr:from>
    <xdr:to>
      <xdr:col>12</xdr:col>
      <xdr:colOff>127908</xdr:colOff>
      <xdr:row>388</xdr:row>
      <xdr:rowOff>371474</xdr:rowOff>
    </xdr:to>
    <xdr:cxnSp macro="">
      <xdr:nvCxnSpPr>
        <xdr:cNvPr id="74" name="Straight Arrow Connector 73">
          <a:extLst>
            <a:ext uri="{FF2B5EF4-FFF2-40B4-BE49-F238E27FC236}">
              <a16:creationId xmlns:a16="http://schemas.microsoft.com/office/drawing/2014/main" xmlns="" id="{00000000-0008-0000-0600-00004A000000}"/>
            </a:ext>
          </a:extLst>
        </xdr:cNvPr>
        <xdr:cNvCxnSpPr/>
      </xdr:nvCxnSpPr>
      <xdr:spPr>
        <a:xfrm flipV="1">
          <a:off x="3937908" y="18859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85725</xdr:colOff>
      <xdr:row>391</xdr:row>
      <xdr:rowOff>123824</xdr:rowOff>
    </xdr:from>
    <xdr:to>
      <xdr:col>20</xdr:col>
      <xdr:colOff>115661</xdr:colOff>
      <xdr:row>399</xdr:row>
      <xdr:rowOff>238125</xdr:rowOff>
    </xdr:to>
    <xdr:cxnSp macro="">
      <xdr:nvCxnSpPr>
        <xdr:cNvPr id="75" name="Straight Arrow Connector 74">
          <a:extLst>
            <a:ext uri="{FF2B5EF4-FFF2-40B4-BE49-F238E27FC236}">
              <a16:creationId xmlns:a16="http://schemas.microsoft.com/office/drawing/2014/main" xmlns="" id="{00000000-0008-0000-0600-00004B000000}"/>
            </a:ext>
          </a:extLst>
        </xdr:cNvPr>
        <xdr:cNvCxnSpPr/>
      </xdr:nvCxnSpPr>
      <xdr:spPr>
        <a:xfrm flipH="1">
          <a:off x="6715125" y="3200399"/>
          <a:ext cx="29936" cy="371475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66675</xdr:colOff>
      <xdr:row>399</xdr:row>
      <xdr:rowOff>238125</xdr:rowOff>
    </xdr:from>
    <xdr:to>
      <xdr:col>20</xdr:col>
      <xdr:colOff>95250</xdr:colOff>
      <xdr:row>399</xdr:row>
      <xdr:rowOff>247650</xdr:rowOff>
    </xdr:to>
    <xdr:cxnSp macro="">
      <xdr:nvCxnSpPr>
        <xdr:cNvPr id="76" name="Straight Arrow Connector 75">
          <a:extLst>
            <a:ext uri="{FF2B5EF4-FFF2-40B4-BE49-F238E27FC236}">
              <a16:creationId xmlns:a16="http://schemas.microsoft.com/office/drawing/2014/main" xmlns="" id="{00000000-0008-0000-0600-00004C000000}"/>
            </a:ext>
          </a:extLst>
        </xdr:cNvPr>
        <xdr:cNvCxnSpPr/>
      </xdr:nvCxnSpPr>
      <xdr:spPr>
        <a:xfrm flipH="1">
          <a:off x="4581525" y="6915150"/>
          <a:ext cx="2143125" cy="952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22266</xdr:colOff>
      <xdr:row>397</xdr:row>
      <xdr:rowOff>492453</xdr:rowOff>
    </xdr:from>
    <xdr:to>
      <xdr:col>10</xdr:col>
      <xdr:colOff>159946</xdr:colOff>
      <xdr:row>397</xdr:row>
      <xdr:rowOff>697674</xdr:rowOff>
    </xdr:to>
    <xdr:cxnSp macro="">
      <xdr:nvCxnSpPr>
        <xdr:cNvPr id="77" name="Straight Arrow Connector 76">
          <a:extLst>
            <a:ext uri="{FF2B5EF4-FFF2-40B4-BE49-F238E27FC236}">
              <a16:creationId xmlns:a16="http://schemas.microsoft.com/office/drawing/2014/main" xmlns="" id="{00000000-0008-0000-0600-00004D000000}"/>
            </a:ext>
          </a:extLst>
        </xdr:cNvPr>
        <xdr:cNvCxnSpPr/>
      </xdr:nvCxnSpPr>
      <xdr:spPr>
        <a:xfrm flipV="1">
          <a:off x="3127416" y="6026478"/>
          <a:ext cx="137680" cy="2052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87828</xdr:colOff>
      <xdr:row>397</xdr:row>
      <xdr:rowOff>476374</xdr:rowOff>
    </xdr:from>
    <xdr:to>
      <xdr:col>15</xdr:col>
      <xdr:colOff>394607</xdr:colOff>
      <xdr:row>397</xdr:row>
      <xdr:rowOff>721179</xdr:rowOff>
    </xdr:to>
    <xdr:cxnSp macro="">
      <xdr:nvCxnSpPr>
        <xdr:cNvPr id="78" name="Straight Arrow Connector 77">
          <a:extLst>
            <a:ext uri="{FF2B5EF4-FFF2-40B4-BE49-F238E27FC236}">
              <a16:creationId xmlns:a16="http://schemas.microsoft.com/office/drawing/2014/main" xmlns="" id="{00000000-0008-0000-0600-00004E000000}"/>
            </a:ext>
          </a:extLst>
        </xdr:cNvPr>
        <xdr:cNvCxnSpPr/>
      </xdr:nvCxnSpPr>
      <xdr:spPr>
        <a:xfrm flipH="1" flipV="1">
          <a:off x="4602678" y="6010399"/>
          <a:ext cx="621104" cy="24480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392</xdr:row>
      <xdr:rowOff>28575</xdr:rowOff>
    </xdr:from>
    <xdr:to>
      <xdr:col>17</xdr:col>
      <xdr:colOff>161925</xdr:colOff>
      <xdr:row>392</xdr:row>
      <xdr:rowOff>361949</xdr:rowOff>
    </xdr:to>
    <xdr:cxnSp macro="">
      <xdr:nvCxnSpPr>
        <xdr:cNvPr id="79" name="Straight Arrow Connector 78">
          <a:extLst>
            <a:ext uri="{FF2B5EF4-FFF2-40B4-BE49-F238E27FC236}">
              <a16:creationId xmlns:a16="http://schemas.microsoft.com/office/drawing/2014/main" xmlns="" id="{00000000-0008-0000-0600-00004F000000}"/>
            </a:ext>
          </a:extLst>
        </xdr:cNvPr>
        <xdr:cNvCxnSpPr/>
      </xdr:nvCxnSpPr>
      <xdr:spPr>
        <a:xfrm flipV="1">
          <a:off x="5734050" y="351472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402</xdr:row>
      <xdr:rowOff>47625</xdr:rowOff>
    </xdr:from>
    <xdr:to>
      <xdr:col>12</xdr:col>
      <xdr:colOff>133350</xdr:colOff>
      <xdr:row>403</xdr:row>
      <xdr:rowOff>0</xdr:rowOff>
    </xdr:to>
    <xdr:cxnSp macro="">
      <xdr:nvCxnSpPr>
        <xdr:cNvPr id="80" name="Straight Arrow Connector 79">
          <a:extLst>
            <a:ext uri="{FF2B5EF4-FFF2-40B4-BE49-F238E27FC236}">
              <a16:creationId xmlns:a16="http://schemas.microsoft.com/office/drawing/2014/main" xmlns="" id="{00000000-0008-0000-0600-000050000000}"/>
            </a:ext>
          </a:extLst>
        </xdr:cNvPr>
        <xdr:cNvCxnSpPr/>
      </xdr:nvCxnSpPr>
      <xdr:spPr>
        <a:xfrm flipV="1">
          <a:off x="3933825" y="7896225"/>
          <a:ext cx="9525" cy="1428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59872</xdr:colOff>
      <xdr:row>414</xdr:row>
      <xdr:rowOff>108857</xdr:rowOff>
    </xdr:from>
    <xdr:to>
      <xdr:col>9</xdr:col>
      <xdr:colOff>325211</xdr:colOff>
      <xdr:row>414</xdr:row>
      <xdr:rowOff>108857</xdr:rowOff>
    </xdr:to>
    <xdr:cxnSp macro="">
      <xdr:nvCxnSpPr>
        <xdr:cNvPr id="81" name="Straight Arrow Connector 80">
          <a:extLst>
            <a:ext uri="{FF2B5EF4-FFF2-40B4-BE49-F238E27FC236}">
              <a16:creationId xmlns:a16="http://schemas.microsoft.com/office/drawing/2014/main" xmlns="" id="{00000000-0008-0000-0600-000051000000}"/>
            </a:ext>
          </a:extLst>
        </xdr:cNvPr>
        <xdr:cNvCxnSpPr/>
      </xdr:nvCxnSpPr>
      <xdr:spPr>
        <a:xfrm>
          <a:off x="2107747" y="1072923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416</xdr:row>
      <xdr:rowOff>100693</xdr:rowOff>
    </xdr:from>
    <xdr:to>
      <xdr:col>10</xdr:col>
      <xdr:colOff>12246</xdr:colOff>
      <xdr:row>416</xdr:row>
      <xdr:rowOff>100693</xdr:rowOff>
    </xdr:to>
    <xdr:cxnSp macro="">
      <xdr:nvCxnSpPr>
        <xdr:cNvPr id="82" name="Straight Arrow Connector 81">
          <a:extLst>
            <a:ext uri="{FF2B5EF4-FFF2-40B4-BE49-F238E27FC236}">
              <a16:creationId xmlns:a16="http://schemas.microsoft.com/office/drawing/2014/main" xmlns="" id="{00000000-0008-0000-0600-000052000000}"/>
            </a:ext>
          </a:extLst>
        </xdr:cNvPr>
        <xdr:cNvCxnSpPr/>
      </xdr:nvCxnSpPr>
      <xdr:spPr>
        <a:xfrm>
          <a:off x="2143125" y="1154021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40822</xdr:colOff>
      <xdr:row>418</xdr:row>
      <xdr:rowOff>68036</xdr:rowOff>
    </xdr:from>
    <xdr:to>
      <xdr:col>9</xdr:col>
      <xdr:colOff>325211</xdr:colOff>
      <xdr:row>418</xdr:row>
      <xdr:rowOff>68036</xdr:rowOff>
    </xdr:to>
    <xdr:cxnSp macro="">
      <xdr:nvCxnSpPr>
        <xdr:cNvPr id="83" name="Straight Arrow Connector 82">
          <a:extLst>
            <a:ext uri="{FF2B5EF4-FFF2-40B4-BE49-F238E27FC236}">
              <a16:creationId xmlns:a16="http://schemas.microsoft.com/office/drawing/2014/main" xmlns="" id="{00000000-0008-0000-0600-000053000000}"/>
            </a:ext>
          </a:extLst>
        </xdr:cNvPr>
        <xdr:cNvCxnSpPr/>
      </xdr:nvCxnSpPr>
      <xdr:spPr>
        <a:xfrm>
          <a:off x="2088697" y="12326711"/>
          <a:ext cx="98923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172811</xdr:colOff>
      <xdr:row>420</xdr:row>
      <xdr:rowOff>136072</xdr:rowOff>
    </xdr:from>
    <xdr:to>
      <xdr:col>10</xdr:col>
      <xdr:colOff>80282</xdr:colOff>
      <xdr:row>420</xdr:row>
      <xdr:rowOff>136072</xdr:rowOff>
    </xdr:to>
    <xdr:cxnSp macro="">
      <xdr:nvCxnSpPr>
        <xdr:cNvPr id="84" name="Straight Arrow Connector 83">
          <a:extLst>
            <a:ext uri="{FF2B5EF4-FFF2-40B4-BE49-F238E27FC236}">
              <a16:creationId xmlns:a16="http://schemas.microsoft.com/office/drawing/2014/main" xmlns="" id="{00000000-0008-0000-0600-000054000000}"/>
            </a:ext>
          </a:extLst>
        </xdr:cNvPr>
        <xdr:cNvCxnSpPr/>
      </xdr:nvCxnSpPr>
      <xdr:spPr>
        <a:xfrm>
          <a:off x="2220686" y="13213897"/>
          <a:ext cx="96474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422</xdr:row>
      <xdr:rowOff>118383</xdr:rowOff>
    </xdr:from>
    <xdr:to>
      <xdr:col>9</xdr:col>
      <xdr:colOff>352426</xdr:colOff>
      <xdr:row>422</xdr:row>
      <xdr:rowOff>118383</xdr:rowOff>
    </xdr:to>
    <xdr:cxnSp macro="">
      <xdr:nvCxnSpPr>
        <xdr:cNvPr id="85" name="Straight Arrow Connector 84">
          <a:extLst>
            <a:ext uri="{FF2B5EF4-FFF2-40B4-BE49-F238E27FC236}">
              <a16:creationId xmlns:a16="http://schemas.microsoft.com/office/drawing/2014/main" xmlns="" id="{00000000-0008-0000-0600-000055000000}"/>
            </a:ext>
          </a:extLst>
        </xdr:cNvPr>
        <xdr:cNvCxnSpPr/>
      </xdr:nvCxnSpPr>
      <xdr:spPr>
        <a:xfrm>
          <a:off x="2106387" y="1401535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426</xdr:row>
      <xdr:rowOff>146957</xdr:rowOff>
    </xdr:from>
    <xdr:to>
      <xdr:col>9</xdr:col>
      <xdr:colOff>252846</xdr:colOff>
      <xdr:row>426</xdr:row>
      <xdr:rowOff>152152</xdr:rowOff>
    </xdr:to>
    <xdr:cxnSp macro="">
      <xdr:nvCxnSpPr>
        <xdr:cNvPr id="86" name="Straight Arrow Connector 85">
          <a:extLst>
            <a:ext uri="{FF2B5EF4-FFF2-40B4-BE49-F238E27FC236}">
              <a16:creationId xmlns:a16="http://schemas.microsoft.com/office/drawing/2014/main" xmlns="" id="{00000000-0008-0000-0600-000056000000}"/>
            </a:ext>
          </a:extLst>
        </xdr:cNvPr>
        <xdr:cNvCxnSpPr/>
      </xdr:nvCxnSpPr>
      <xdr:spPr>
        <a:xfrm>
          <a:off x="1917247" y="1600608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428</xdr:row>
      <xdr:rowOff>136072</xdr:rowOff>
    </xdr:from>
    <xdr:to>
      <xdr:col>9</xdr:col>
      <xdr:colOff>257175</xdr:colOff>
      <xdr:row>428</xdr:row>
      <xdr:rowOff>136072</xdr:rowOff>
    </xdr:to>
    <xdr:cxnSp macro="">
      <xdr:nvCxnSpPr>
        <xdr:cNvPr id="87" name="Straight Arrow Connector 86">
          <a:extLst>
            <a:ext uri="{FF2B5EF4-FFF2-40B4-BE49-F238E27FC236}">
              <a16:creationId xmlns:a16="http://schemas.microsoft.com/office/drawing/2014/main" xmlns="" id="{00000000-0008-0000-0600-000057000000}"/>
            </a:ext>
          </a:extLst>
        </xdr:cNvPr>
        <xdr:cNvCxnSpPr/>
      </xdr:nvCxnSpPr>
      <xdr:spPr>
        <a:xfrm>
          <a:off x="1926771" y="1677624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427</xdr:row>
      <xdr:rowOff>9525</xdr:rowOff>
    </xdr:from>
    <xdr:to>
      <xdr:col>11</xdr:col>
      <xdr:colOff>314325</xdr:colOff>
      <xdr:row>427</xdr:row>
      <xdr:rowOff>295275</xdr:rowOff>
    </xdr:to>
    <xdr:cxnSp macro="">
      <xdr:nvCxnSpPr>
        <xdr:cNvPr id="88" name="Straight Arrow Connector 87">
          <a:extLst>
            <a:ext uri="{FF2B5EF4-FFF2-40B4-BE49-F238E27FC236}">
              <a16:creationId xmlns:a16="http://schemas.microsoft.com/office/drawing/2014/main" xmlns="" id="{00000000-0008-0000-0600-000058000000}"/>
            </a:ext>
          </a:extLst>
        </xdr:cNvPr>
        <xdr:cNvCxnSpPr/>
      </xdr:nvCxnSpPr>
      <xdr:spPr>
        <a:xfrm flipV="1">
          <a:off x="3762375" y="16259175"/>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423</xdr:row>
      <xdr:rowOff>38101</xdr:rowOff>
    </xdr:from>
    <xdr:to>
      <xdr:col>12</xdr:col>
      <xdr:colOff>141515</xdr:colOff>
      <xdr:row>423</xdr:row>
      <xdr:rowOff>371475</xdr:rowOff>
    </xdr:to>
    <xdr:cxnSp macro="">
      <xdr:nvCxnSpPr>
        <xdr:cNvPr id="89" name="Straight Arrow Connector 88">
          <a:extLst>
            <a:ext uri="{FF2B5EF4-FFF2-40B4-BE49-F238E27FC236}">
              <a16:creationId xmlns:a16="http://schemas.microsoft.com/office/drawing/2014/main" xmlns="" id="{00000000-0008-0000-0600-000059000000}"/>
            </a:ext>
          </a:extLst>
        </xdr:cNvPr>
        <xdr:cNvCxnSpPr/>
      </xdr:nvCxnSpPr>
      <xdr:spPr>
        <a:xfrm flipV="1">
          <a:off x="3951515" y="1434465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425</xdr:row>
      <xdr:rowOff>2721</xdr:rowOff>
    </xdr:from>
    <xdr:to>
      <xdr:col>11</xdr:col>
      <xdr:colOff>12246</xdr:colOff>
      <xdr:row>425</xdr:row>
      <xdr:rowOff>137802</xdr:rowOff>
    </xdr:to>
    <xdr:cxnSp macro="">
      <xdr:nvCxnSpPr>
        <xdr:cNvPr id="90" name="Straight Arrow Connector 89">
          <a:extLst>
            <a:ext uri="{FF2B5EF4-FFF2-40B4-BE49-F238E27FC236}">
              <a16:creationId xmlns:a16="http://schemas.microsoft.com/office/drawing/2014/main" xmlns="" id="{00000000-0008-0000-0600-00005A000000}"/>
            </a:ext>
          </a:extLst>
        </xdr:cNvPr>
        <xdr:cNvCxnSpPr/>
      </xdr:nvCxnSpPr>
      <xdr:spPr>
        <a:xfrm flipH="1" flipV="1">
          <a:off x="3105150" y="15671346"/>
          <a:ext cx="364671" cy="13508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424</xdr:row>
      <xdr:rowOff>870857</xdr:rowOff>
    </xdr:from>
    <xdr:to>
      <xdr:col>15</xdr:col>
      <xdr:colOff>326571</xdr:colOff>
      <xdr:row>426</xdr:row>
      <xdr:rowOff>40823</xdr:rowOff>
    </xdr:to>
    <xdr:cxnSp macro="">
      <xdr:nvCxnSpPr>
        <xdr:cNvPr id="91" name="Straight Arrow Connector 90">
          <a:extLst>
            <a:ext uri="{FF2B5EF4-FFF2-40B4-BE49-F238E27FC236}">
              <a16:creationId xmlns:a16="http://schemas.microsoft.com/office/drawing/2014/main" xmlns="" id="{00000000-0008-0000-0600-00005B000000}"/>
            </a:ext>
          </a:extLst>
        </xdr:cNvPr>
        <xdr:cNvCxnSpPr/>
      </xdr:nvCxnSpPr>
      <xdr:spPr>
        <a:xfrm flipV="1">
          <a:off x="4663168" y="15586982"/>
          <a:ext cx="530678" cy="31296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421</xdr:row>
      <xdr:rowOff>28576</xdr:rowOff>
    </xdr:from>
    <xdr:to>
      <xdr:col>12</xdr:col>
      <xdr:colOff>145596</xdr:colOff>
      <xdr:row>421</xdr:row>
      <xdr:rowOff>361950</xdr:rowOff>
    </xdr:to>
    <xdr:cxnSp macro="">
      <xdr:nvCxnSpPr>
        <xdr:cNvPr id="92" name="Straight Arrow Connector 91">
          <a:extLst>
            <a:ext uri="{FF2B5EF4-FFF2-40B4-BE49-F238E27FC236}">
              <a16:creationId xmlns:a16="http://schemas.microsoft.com/office/drawing/2014/main" xmlns="" id="{00000000-0008-0000-0600-00005C000000}"/>
            </a:ext>
          </a:extLst>
        </xdr:cNvPr>
        <xdr:cNvCxnSpPr/>
      </xdr:nvCxnSpPr>
      <xdr:spPr>
        <a:xfrm flipV="1">
          <a:off x="3955596" y="1351597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168729</xdr:colOff>
      <xdr:row>420</xdr:row>
      <xdr:rowOff>379640</xdr:rowOff>
    </xdr:from>
    <xdr:to>
      <xdr:col>15</xdr:col>
      <xdr:colOff>318407</xdr:colOff>
      <xdr:row>421</xdr:row>
      <xdr:rowOff>285750</xdr:rowOff>
    </xdr:to>
    <xdr:cxnSp macro="">
      <xdr:nvCxnSpPr>
        <xdr:cNvPr id="93" name="Straight Arrow Connector 92">
          <a:extLst>
            <a:ext uri="{FF2B5EF4-FFF2-40B4-BE49-F238E27FC236}">
              <a16:creationId xmlns:a16="http://schemas.microsoft.com/office/drawing/2014/main" xmlns="" id="{00000000-0008-0000-0600-00005D000000}"/>
            </a:ext>
          </a:extLst>
        </xdr:cNvPr>
        <xdr:cNvCxnSpPr/>
      </xdr:nvCxnSpPr>
      <xdr:spPr>
        <a:xfrm flipV="1">
          <a:off x="4683579" y="13457465"/>
          <a:ext cx="502103" cy="31568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155121</xdr:colOff>
      <xdr:row>419</xdr:row>
      <xdr:rowOff>35379</xdr:rowOff>
    </xdr:from>
    <xdr:to>
      <xdr:col>12</xdr:col>
      <xdr:colOff>155121</xdr:colOff>
      <xdr:row>419</xdr:row>
      <xdr:rowOff>368753</xdr:rowOff>
    </xdr:to>
    <xdr:cxnSp macro="">
      <xdr:nvCxnSpPr>
        <xdr:cNvPr id="94" name="Straight Arrow Connector 93">
          <a:extLst>
            <a:ext uri="{FF2B5EF4-FFF2-40B4-BE49-F238E27FC236}">
              <a16:creationId xmlns:a16="http://schemas.microsoft.com/office/drawing/2014/main" xmlns="" id="{00000000-0008-0000-0600-00005E000000}"/>
            </a:ext>
          </a:extLst>
        </xdr:cNvPr>
        <xdr:cNvCxnSpPr/>
      </xdr:nvCxnSpPr>
      <xdr:spPr>
        <a:xfrm flipV="1">
          <a:off x="3965121" y="12703629"/>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100692</xdr:colOff>
      <xdr:row>418</xdr:row>
      <xdr:rowOff>141514</xdr:rowOff>
    </xdr:from>
    <xdr:to>
      <xdr:col>20</xdr:col>
      <xdr:colOff>74839</xdr:colOff>
      <xdr:row>418</xdr:row>
      <xdr:rowOff>151038</xdr:rowOff>
    </xdr:to>
    <xdr:cxnSp macro="">
      <xdr:nvCxnSpPr>
        <xdr:cNvPr id="95" name="Straight Arrow Connector 94">
          <a:extLst>
            <a:ext uri="{FF2B5EF4-FFF2-40B4-BE49-F238E27FC236}">
              <a16:creationId xmlns:a16="http://schemas.microsoft.com/office/drawing/2014/main" xmlns="" id="{00000000-0008-0000-0600-00005F000000}"/>
            </a:ext>
          </a:extLst>
        </xdr:cNvPr>
        <xdr:cNvCxnSpPr/>
      </xdr:nvCxnSpPr>
      <xdr:spPr>
        <a:xfrm flipV="1">
          <a:off x="6377667" y="12400189"/>
          <a:ext cx="326572" cy="95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417</xdr:row>
      <xdr:rowOff>28575</xdr:rowOff>
    </xdr:from>
    <xdr:to>
      <xdr:col>12</xdr:col>
      <xdr:colOff>145596</xdr:colOff>
      <xdr:row>417</xdr:row>
      <xdr:rowOff>361949</xdr:rowOff>
    </xdr:to>
    <xdr:cxnSp macro="">
      <xdr:nvCxnSpPr>
        <xdr:cNvPr id="96" name="Straight Arrow Connector 95">
          <a:extLst>
            <a:ext uri="{FF2B5EF4-FFF2-40B4-BE49-F238E27FC236}">
              <a16:creationId xmlns:a16="http://schemas.microsoft.com/office/drawing/2014/main" xmlns="" id="{00000000-0008-0000-0600-000060000000}"/>
            </a:ext>
          </a:extLst>
        </xdr:cNvPr>
        <xdr:cNvCxnSpPr/>
      </xdr:nvCxnSpPr>
      <xdr:spPr>
        <a:xfrm flipV="1">
          <a:off x="3955596" y="118776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415</xdr:row>
      <xdr:rowOff>38100</xdr:rowOff>
    </xdr:from>
    <xdr:to>
      <xdr:col>12</xdr:col>
      <xdr:colOff>127908</xdr:colOff>
      <xdr:row>415</xdr:row>
      <xdr:rowOff>371474</xdr:rowOff>
    </xdr:to>
    <xdr:cxnSp macro="">
      <xdr:nvCxnSpPr>
        <xdr:cNvPr id="97" name="Straight Arrow Connector 96">
          <a:extLst>
            <a:ext uri="{FF2B5EF4-FFF2-40B4-BE49-F238E27FC236}">
              <a16:creationId xmlns:a16="http://schemas.microsoft.com/office/drawing/2014/main" xmlns="" id="{00000000-0008-0000-0600-000061000000}"/>
            </a:ext>
          </a:extLst>
        </xdr:cNvPr>
        <xdr:cNvCxnSpPr/>
      </xdr:nvCxnSpPr>
      <xdr:spPr>
        <a:xfrm flipV="1">
          <a:off x="3937908" y="110680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115661</xdr:colOff>
      <xdr:row>418</xdr:row>
      <xdr:rowOff>123824</xdr:rowOff>
    </xdr:from>
    <xdr:to>
      <xdr:col>20</xdr:col>
      <xdr:colOff>115661</xdr:colOff>
      <xdr:row>426</xdr:row>
      <xdr:rowOff>152400</xdr:rowOff>
    </xdr:to>
    <xdr:cxnSp macro="">
      <xdr:nvCxnSpPr>
        <xdr:cNvPr id="98" name="Straight Arrow Connector 97">
          <a:extLst>
            <a:ext uri="{FF2B5EF4-FFF2-40B4-BE49-F238E27FC236}">
              <a16:creationId xmlns:a16="http://schemas.microsoft.com/office/drawing/2014/main" xmlns="" id="{00000000-0008-0000-0600-000062000000}"/>
            </a:ext>
          </a:extLst>
        </xdr:cNvPr>
        <xdr:cNvCxnSpPr/>
      </xdr:nvCxnSpPr>
      <xdr:spPr>
        <a:xfrm flipH="1">
          <a:off x="6745061" y="12382499"/>
          <a:ext cx="0" cy="362902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171450</xdr:colOff>
      <xdr:row>426</xdr:row>
      <xdr:rowOff>127907</xdr:rowOff>
    </xdr:from>
    <xdr:to>
      <xdr:col>20</xdr:col>
      <xdr:colOff>102055</xdr:colOff>
      <xdr:row>426</xdr:row>
      <xdr:rowOff>257175</xdr:rowOff>
    </xdr:to>
    <xdr:cxnSp macro="">
      <xdr:nvCxnSpPr>
        <xdr:cNvPr id="99" name="Straight Arrow Connector 98">
          <a:extLst>
            <a:ext uri="{FF2B5EF4-FFF2-40B4-BE49-F238E27FC236}">
              <a16:creationId xmlns:a16="http://schemas.microsoft.com/office/drawing/2014/main" xmlns="" id="{00000000-0008-0000-0600-000063000000}"/>
            </a:ext>
          </a:extLst>
        </xdr:cNvPr>
        <xdr:cNvCxnSpPr/>
      </xdr:nvCxnSpPr>
      <xdr:spPr>
        <a:xfrm flipH="1">
          <a:off x="4686300" y="15987032"/>
          <a:ext cx="2045155" cy="129268"/>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22266</xdr:colOff>
      <xdr:row>424</xdr:row>
      <xdr:rowOff>492453</xdr:rowOff>
    </xdr:from>
    <xdr:to>
      <xdr:col>10</xdr:col>
      <xdr:colOff>159946</xdr:colOff>
      <xdr:row>424</xdr:row>
      <xdr:rowOff>697674</xdr:rowOff>
    </xdr:to>
    <xdr:cxnSp macro="">
      <xdr:nvCxnSpPr>
        <xdr:cNvPr id="100" name="Straight Arrow Connector 99">
          <a:extLst>
            <a:ext uri="{FF2B5EF4-FFF2-40B4-BE49-F238E27FC236}">
              <a16:creationId xmlns:a16="http://schemas.microsoft.com/office/drawing/2014/main" xmlns="" id="{00000000-0008-0000-0600-000064000000}"/>
            </a:ext>
          </a:extLst>
        </xdr:cNvPr>
        <xdr:cNvCxnSpPr/>
      </xdr:nvCxnSpPr>
      <xdr:spPr>
        <a:xfrm flipV="1">
          <a:off x="3127416" y="15208578"/>
          <a:ext cx="137680" cy="2052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87828</xdr:colOff>
      <xdr:row>424</xdr:row>
      <xdr:rowOff>476374</xdr:rowOff>
    </xdr:from>
    <xdr:to>
      <xdr:col>15</xdr:col>
      <xdr:colOff>394607</xdr:colOff>
      <xdr:row>424</xdr:row>
      <xdr:rowOff>721179</xdr:rowOff>
    </xdr:to>
    <xdr:cxnSp macro="">
      <xdr:nvCxnSpPr>
        <xdr:cNvPr id="101" name="Straight Arrow Connector 100">
          <a:extLst>
            <a:ext uri="{FF2B5EF4-FFF2-40B4-BE49-F238E27FC236}">
              <a16:creationId xmlns:a16="http://schemas.microsoft.com/office/drawing/2014/main" xmlns="" id="{00000000-0008-0000-0600-000065000000}"/>
            </a:ext>
          </a:extLst>
        </xdr:cNvPr>
        <xdr:cNvCxnSpPr/>
      </xdr:nvCxnSpPr>
      <xdr:spPr>
        <a:xfrm flipH="1" flipV="1">
          <a:off x="4602678" y="15192499"/>
          <a:ext cx="621104" cy="24480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352425</xdr:colOff>
      <xdr:row>419</xdr:row>
      <xdr:rowOff>57150</xdr:rowOff>
    </xdr:from>
    <xdr:to>
      <xdr:col>16</xdr:col>
      <xdr:colOff>352425</xdr:colOff>
      <xdr:row>419</xdr:row>
      <xdr:rowOff>390524</xdr:rowOff>
    </xdr:to>
    <xdr:cxnSp macro="">
      <xdr:nvCxnSpPr>
        <xdr:cNvPr id="102" name="Straight Arrow Connector 101">
          <a:extLst>
            <a:ext uri="{FF2B5EF4-FFF2-40B4-BE49-F238E27FC236}">
              <a16:creationId xmlns:a16="http://schemas.microsoft.com/office/drawing/2014/main" xmlns="" id="{00000000-0008-0000-0600-000066000000}"/>
            </a:ext>
          </a:extLst>
        </xdr:cNvPr>
        <xdr:cNvCxnSpPr/>
      </xdr:nvCxnSpPr>
      <xdr:spPr>
        <a:xfrm flipV="1">
          <a:off x="5572125" y="1272540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429</xdr:row>
      <xdr:rowOff>47625</xdr:rowOff>
    </xdr:from>
    <xdr:to>
      <xdr:col>12</xdr:col>
      <xdr:colOff>133350</xdr:colOff>
      <xdr:row>430</xdr:row>
      <xdr:rowOff>0</xdr:rowOff>
    </xdr:to>
    <xdr:cxnSp macro="">
      <xdr:nvCxnSpPr>
        <xdr:cNvPr id="103" name="Straight Arrow Connector 102">
          <a:extLst>
            <a:ext uri="{FF2B5EF4-FFF2-40B4-BE49-F238E27FC236}">
              <a16:creationId xmlns:a16="http://schemas.microsoft.com/office/drawing/2014/main" xmlns="" id="{00000000-0008-0000-0600-000067000000}"/>
            </a:ext>
          </a:extLst>
        </xdr:cNvPr>
        <xdr:cNvCxnSpPr/>
      </xdr:nvCxnSpPr>
      <xdr:spPr>
        <a:xfrm flipV="1">
          <a:off x="3933825" y="17078325"/>
          <a:ext cx="9525" cy="1428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59872</xdr:colOff>
      <xdr:row>440</xdr:row>
      <xdr:rowOff>108857</xdr:rowOff>
    </xdr:from>
    <xdr:to>
      <xdr:col>9</xdr:col>
      <xdr:colOff>325211</xdr:colOff>
      <xdr:row>440</xdr:row>
      <xdr:rowOff>108857</xdr:rowOff>
    </xdr:to>
    <xdr:cxnSp macro="">
      <xdr:nvCxnSpPr>
        <xdr:cNvPr id="104" name="Straight Arrow Connector 103">
          <a:extLst>
            <a:ext uri="{FF2B5EF4-FFF2-40B4-BE49-F238E27FC236}">
              <a16:creationId xmlns:a16="http://schemas.microsoft.com/office/drawing/2014/main" xmlns="" id="{00000000-0008-0000-0600-000068000000}"/>
            </a:ext>
          </a:extLst>
        </xdr:cNvPr>
        <xdr:cNvCxnSpPr/>
      </xdr:nvCxnSpPr>
      <xdr:spPr>
        <a:xfrm>
          <a:off x="2107747" y="1972083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442</xdr:row>
      <xdr:rowOff>100693</xdr:rowOff>
    </xdr:from>
    <xdr:to>
      <xdr:col>10</xdr:col>
      <xdr:colOff>12246</xdr:colOff>
      <xdr:row>442</xdr:row>
      <xdr:rowOff>100693</xdr:rowOff>
    </xdr:to>
    <xdr:cxnSp macro="">
      <xdr:nvCxnSpPr>
        <xdr:cNvPr id="105" name="Straight Arrow Connector 104">
          <a:extLst>
            <a:ext uri="{FF2B5EF4-FFF2-40B4-BE49-F238E27FC236}">
              <a16:creationId xmlns:a16="http://schemas.microsoft.com/office/drawing/2014/main" xmlns="" id="{00000000-0008-0000-0600-000069000000}"/>
            </a:ext>
          </a:extLst>
        </xdr:cNvPr>
        <xdr:cNvCxnSpPr/>
      </xdr:nvCxnSpPr>
      <xdr:spPr>
        <a:xfrm>
          <a:off x="2143125" y="2053181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40822</xdr:colOff>
      <xdr:row>444</xdr:row>
      <xdr:rowOff>68036</xdr:rowOff>
    </xdr:from>
    <xdr:to>
      <xdr:col>9</xdr:col>
      <xdr:colOff>325211</xdr:colOff>
      <xdr:row>444</xdr:row>
      <xdr:rowOff>68036</xdr:rowOff>
    </xdr:to>
    <xdr:cxnSp macro="">
      <xdr:nvCxnSpPr>
        <xdr:cNvPr id="106" name="Straight Arrow Connector 105">
          <a:extLst>
            <a:ext uri="{FF2B5EF4-FFF2-40B4-BE49-F238E27FC236}">
              <a16:creationId xmlns:a16="http://schemas.microsoft.com/office/drawing/2014/main" xmlns="" id="{00000000-0008-0000-0600-00006A000000}"/>
            </a:ext>
          </a:extLst>
        </xdr:cNvPr>
        <xdr:cNvCxnSpPr/>
      </xdr:nvCxnSpPr>
      <xdr:spPr>
        <a:xfrm>
          <a:off x="2088697" y="21318311"/>
          <a:ext cx="98923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172811</xdr:colOff>
      <xdr:row>446</xdr:row>
      <xdr:rowOff>136072</xdr:rowOff>
    </xdr:from>
    <xdr:to>
      <xdr:col>10</xdr:col>
      <xdr:colOff>80282</xdr:colOff>
      <xdr:row>446</xdr:row>
      <xdr:rowOff>136072</xdr:rowOff>
    </xdr:to>
    <xdr:cxnSp macro="">
      <xdr:nvCxnSpPr>
        <xdr:cNvPr id="107" name="Straight Arrow Connector 106">
          <a:extLst>
            <a:ext uri="{FF2B5EF4-FFF2-40B4-BE49-F238E27FC236}">
              <a16:creationId xmlns:a16="http://schemas.microsoft.com/office/drawing/2014/main" xmlns="" id="{00000000-0008-0000-0600-00006B000000}"/>
            </a:ext>
          </a:extLst>
        </xdr:cNvPr>
        <xdr:cNvCxnSpPr/>
      </xdr:nvCxnSpPr>
      <xdr:spPr>
        <a:xfrm>
          <a:off x="2220686" y="22205497"/>
          <a:ext cx="96474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448</xdr:row>
      <xdr:rowOff>118383</xdr:rowOff>
    </xdr:from>
    <xdr:to>
      <xdr:col>9</xdr:col>
      <xdr:colOff>352426</xdr:colOff>
      <xdr:row>448</xdr:row>
      <xdr:rowOff>118383</xdr:rowOff>
    </xdr:to>
    <xdr:cxnSp macro="">
      <xdr:nvCxnSpPr>
        <xdr:cNvPr id="108" name="Straight Arrow Connector 107">
          <a:extLst>
            <a:ext uri="{FF2B5EF4-FFF2-40B4-BE49-F238E27FC236}">
              <a16:creationId xmlns:a16="http://schemas.microsoft.com/office/drawing/2014/main" xmlns="" id="{00000000-0008-0000-0600-00006C000000}"/>
            </a:ext>
          </a:extLst>
        </xdr:cNvPr>
        <xdr:cNvCxnSpPr/>
      </xdr:nvCxnSpPr>
      <xdr:spPr>
        <a:xfrm>
          <a:off x="2106387" y="2300695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452</xdr:row>
      <xdr:rowOff>146957</xdr:rowOff>
    </xdr:from>
    <xdr:to>
      <xdr:col>9</xdr:col>
      <xdr:colOff>252846</xdr:colOff>
      <xdr:row>452</xdr:row>
      <xdr:rowOff>152152</xdr:rowOff>
    </xdr:to>
    <xdr:cxnSp macro="">
      <xdr:nvCxnSpPr>
        <xdr:cNvPr id="109" name="Straight Arrow Connector 108">
          <a:extLst>
            <a:ext uri="{FF2B5EF4-FFF2-40B4-BE49-F238E27FC236}">
              <a16:creationId xmlns:a16="http://schemas.microsoft.com/office/drawing/2014/main" xmlns="" id="{00000000-0008-0000-0600-00006D000000}"/>
            </a:ext>
          </a:extLst>
        </xdr:cNvPr>
        <xdr:cNvCxnSpPr/>
      </xdr:nvCxnSpPr>
      <xdr:spPr>
        <a:xfrm>
          <a:off x="1917247" y="2499768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454</xdr:row>
      <xdr:rowOff>136072</xdr:rowOff>
    </xdr:from>
    <xdr:to>
      <xdr:col>9</xdr:col>
      <xdr:colOff>257175</xdr:colOff>
      <xdr:row>454</xdr:row>
      <xdr:rowOff>136072</xdr:rowOff>
    </xdr:to>
    <xdr:cxnSp macro="">
      <xdr:nvCxnSpPr>
        <xdr:cNvPr id="110" name="Straight Arrow Connector 109">
          <a:extLst>
            <a:ext uri="{FF2B5EF4-FFF2-40B4-BE49-F238E27FC236}">
              <a16:creationId xmlns:a16="http://schemas.microsoft.com/office/drawing/2014/main" xmlns="" id="{00000000-0008-0000-0600-00006E000000}"/>
            </a:ext>
          </a:extLst>
        </xdr:cNvPr>
        <xdr:cNvCxnSpPr/>
      </xdr:nvCxnSpPr>
      <xdr:spPr>
        <a:xfrm>
          <a:off x="1926771" y="2576784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142875</xdr:colOff>
      <xdr:row>453</xdr:row>
      <xdr:rowOff>66675</xdr:rowOff>
    </xdr:from>
    <xdr:to>
      <xdr:col>12</xdr:col>
      <xdr:colOff>142875</xdr:colOff>
      <xdr:row>453</xdr:row>
      <xdr:rowOff>352425</xdr:rowOff>
    </xdr:to>
    <xdr:cxnSp macro="">
      <xdr:nvCxnSpPr>
        <xdr:cNvPr id="111" name="Straight Arrow Connector 110">
          <a:extLst>
            <a:ext uri="{FF2B5EF4-FFF2-40B4-BE49-F238E27FC236}">
              <a16:creationId xmlns:a16="http://schemas.microsoft.com/office/drawing/2014/main" xmlns="" id="{00000000-0008-0000-0600-00006F000000}"/>
            </a:ext>
          </a:extLst>
        </xdr:cNvPr>
        <xdr:cNvCxnSpPr/>
      </xdr:nvCxnSpPr>
      <xdr:spPr>
        <a:xfrm flipV="1">
          <a:off x="3952875" y="25307925"/>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449</xdr:row>
      <xdr:rowOff>38101</xdr:rowOff>
    </xdr:from>
    <xdr:to>
      <xdr:col>12</xdr:col>
      <xdr:colOff>141515</xdr:colOff>
      <xdr:row>449</xdr:row>
      <xdr:rowOff>371475</xdr:rowOff>
    </xdr:to>
    <xdr:cxnSp macro="">
      <xdr:nvCxnSpPr>
        <xdr:cNvPr id="112" name="Straight Arrow Connector 111">
          <a:extLst>
            <a:ext uri="{FF2B5EF4-FFF2-40B4-BE49-F238E27FC236}">
              <a16:creationId xmlns:a16="http://schemas.microsoft.com/office/drawing/2014/main" xmlns="" id="{00000000-0008-0000-0600-000070000000}"/>
            </a:ext>
          </a:extLst>
        </xdr:cNvPr>
        <xdr:cNvCxnSpPr/>
      </xdr:nvCxnSpPr>
      <xdr:spPr>
        <a:xfrm flipV="1">
          <a:off x="3951515" y="2333625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451</xdr:row>
      <xdr:rowOff>2721</xdr:rowOff>
    </xdr:from>
    <xdr:to>
      <xdr:col>11</xdr:col>
      <xdr:colOff>12246</xdr:colOff>
      <xdr:row>451</xdr:row>
      <xdr:rowOff>137802</xdr:rowOff>
    </xdr:to>
    <xdr:cxnSp macro="">
      <xdr:nvCxnSpPr>
        <xdr:cNvPr id="113" name="Straight Arrow Connector 112">
          <a:extLst>
            <a:ext uri="{FF2B5EF4-FFF2-40B4-BE49-F238E27FC236}">
              <a16:creationId xmlns:a16="http://schemas.microsoft.com/office/drawing/2014/main" xmlns="" id="{00000000-0008-0000-0600-000071000000}"/>
            </a:ext>
          </a:extLst>
        </xdr:cNvPr>
        <xdr:cNvCxnSpPr/>
      </xdr:nvCxnSpPr>
      <xdr:spPr>
        <a:xfrm flipH="1" flipV="1">
          <a:off x="3105150" y="24662946"/>
          <a:ext cx="364671" cy="13508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450</xdr:row>
      <xdr:rowOff>870857</xdr:rowOff>
    </xdr:from>
    <xdr:to>
      <xdr:col>15</xdr:col>
      <xdr:colOff>326571</xdr:colOff>
      <xdr:row>452</xdr:row>
      <xdr:rowOff>40823</xdr:rowOff>
    </xdr:to>
    <xdr:cxnSp macro="">
      <xdr:nvCxnSpPr>
        <xdr:cNvPr id="114" name="Straight Arrow Connector 113">
          <a:extLst>
            <a:ext uri="{FF2B5EF4-FFF2-40B4-BE49-F238E27FC236}">
              <a16:creationId xmlns:a16="http://schemas.microsoft.com/office/drawing/2014/main" xmlns="" id="{00000000-0008-0000-0600-000072000000}"/>
            </a:ext>
          </a:extLst>
        </xdr:cNvPr>
        <xdr:cNvCxnSpPr/>
      </xdr:nvCxnSpPr>
      <xdr:spPr>
        <a:xfrm flipV="1">
          <a:off x="4663168" y="24578582"/>
          <a:ext cx="530678" cy="31296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447</xdr:row>
      <xdr:rowOff>28576</xdr:rowOff>
    </xdr:from>
    <xdr:to>
      <xdr:col>12</xdr:col>
      <xdr:colOff>145596</xdr:colOff>
      <xdr:row>447</xdr:row>
      <xdr:rowOff>361950</xdr:rowOff>
    </xdr:to>
    <xdr:cxnSp macro="">
      <xdr:nvCxnSpPr>
        <xdr:cNvPr id="115" name="Straight Arrow Connector 114">
          <a:extLst>
            <a:ext uri="{FF2B5EF4-FFF2-40B4-BE49-F238E27FC236}">
              <a16:creationId xmlns:a16="http://schemas.microsoft.com/office/drawing/2014/main" xmlns="" id="{00000000-0008-0000-0600-000073000000}"/>
            </a:ext>
          </a:extLst>
        </xdr:cNvPr>
        <xdr:cNvCxnSpPr/>
      </xdr:nvCxnSpPr>
      <xdr:spPr>
        <a:xfrm flipV="1">
          <a:off x="3955596" y="2250757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446</xdr:row>
      <xdr:rowOff>379641</xdr:rowOff>
    </xdr:from>
    <xdr:to>
      <xdr:col>16</xdr:col>
      <xdr:colOff>4082</xdr:colOff>
      <xdr:row>447</xdr:row>
      <xdr:rowOff>390525</xdr:rowOff>
    </xdr:to>
    <xdr:cxnSp macro="">
      <xdr:nvCxnSpPr>
        <xdr:cNvPr id="116" name="Straight Arrow Connector 115">
          <a:extLst>
            <a:ext uri="{FF2B5EF4-FFF2-40B4-BE49-F238E27FC236}">
              <a16:creationId xmlns:a16="http://schemas.microsoft.com/office/drawing/2014/main" xmlns="" id="{00000000-0008-0000-0600-000074000000}"/>
            </a:ext>
          </a:extLst>
        </xdr:cNvPr>
        <xdr:cNvCxnSpPr/>
      </xdr:nvCxnSpPr>
      <xdr:spPr>
        <a:xfrm flipV="1">
          <a:off x="4552950" y="22449066"/>
          <a:ext cx="670832" cy="42045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155121</xdr:colOff>
      <xdr:row>445</xdr:row>
      <xdr:rowOff>35379</xdr:rowOff>
    </xdr:from>
    <xdr:to>
      <xdr:col>12</xdr:col>
      <xdr:colOff>155121</xdr:colOff>
      <xdr:row>445</xdr:row>
      <xdr:rowOff>368753</xdr:rowOff>
    </xdr:to>
    <xdr:cxnSp macro="">
      <xdr:nvCxnSpPr>
        <xdr:cNvPr id="117" name="Straight Arrow Connector 116">
          <a:extLst>
            <a:ext uri="{FF2B5EF4-FFF2-40B4-BE49-F238E27FC236}">
              <a16:creationId xmlns:a16="http://schemas.microsoft.com/office/drawing/2014/main" xmlns="" id="{00000000-0008-0000-0600-000075000000}"/>
            </a:ext>
          </a:extLst>
        </xdr:cNvPr>
        <xdr:cNvCxnSpPr/>
      </xdr:nvCxnSpPr>
      <xdr:spPr>
        <a:xfrm flipV="1">
          <a:off x="3965121" y="21695229"/>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100692</xdr:colOff>
      <xdr:row>444</xdr:row>
      <xdr:rowOff>141514</xdr:rowOff>
    </xdr:from>
    <xdr:to>
      <xdr:col>20</xdr:col>
      <xdr:colOff>74839</xdr:colOff>
      <xdr:row>444</xdr:row>
      <xdr:rowOff>151038</xdr:rowOff>
    </xdr:to>
    <xdr:cxnSp macro="">
      <xdr:nvCxnSpPr>
        <xdr:cNvPr id="118" name="Straight Arrow Connector 117">
          <a:extLst>
            <a:ext uri="{FF2B5EF4-FFF2-40B4-BE49-F238E27FC236}">
              <a16:creationId xmlns:a16="http://schemas.microsoft.com/office/drawing/2014/main" xmlns="" id="{00000000-0008-0000-0600-000076000000}"/>
            </a:ext>
          </a:extLst>
        </xdr:cNvPr>
        <xdr:cNvCxnSpPr/>
      </xdr:nvCxnSpPr>
      <xdr:spPr>
        <a:xfrm flipV="1">
          <a:off x="6377667" y="21391789"/>
          <a:ext cx="326572" cy="95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443</xdr:row>
      <xdr:rowOff>28575</xdr:rowOff>
    </xdr:from>
    <xdr:to>
      <xdr:col>12</xdr:col>
      <xdr:colOff>145596</xdr:colOff>
      <xdr:row>443</xdr:row>
      <xdr:rowOff>361949</xdr:rowOff>
    </xdr:to>
    <xdr:cxnSp macro="">
      <xdr:nvCxnSpPr>
        <xdr:cNvPr id="119" name="Straight Arrow Connector 118">
          <a:extLst>
            <a:ext uri="{FF2B5EF4-FFF2-40B4-BE49-F238E27FC236}">
              <a16:creationId xmlns:a16="http://schemas.microsoft.com/office/drawing/2014/main" xmlns="" id="{00000000-0008-0000-0600-000077000000}"/>
            </a:ext>
          </a:extLst>
        </xdr:cNvPr>
        <xdr:cNvCxnSpPr/>
      </xdr:nvCxnSpPr>
      <xdr:spPr>
        <a:xfrm flipV="1">
          <a:off x="3955596" y="208692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441</xdr:row>
      <xdr:rowOff>38100</xdr:rowOff>
    </xdr:from>
    <xdr:to>
      <xdr:col>12</xdr:col>
      <xdr:colOff>127908</xdr:colOff>
      <xdr:row>441</xdr:row>
      <xdr:rowOff>371474</xdr:rowOff>
    </xdr:to>
    <xdr:cxnSp macro="">
      <xdr:nvCxnSpPr>
        <xdr:cNvPr id="120" name="Straight Arrow Connector 119">
          <a:extLst>
            <a:ext uri="{FF2B5EF4-FFF2-40B4-BE49-F238E27FC236}">
              <a16:creationId xmlns:a16="http://schemas.microsoft.com/office/drawing/2014/main" xmlns="" id="{00000000-0008-0000-0600-000078000000}"/>
            </a:ext>
          </a:extLst>
        </xdr:cNvPr>
        <xdr:cNvCxnSpPr/>
      </xdr:nvCxnSpPr>
      <xdr:spPr>
        <a:xfrm flipV="1">
          <a:off x="3937908" y="200596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77561</xdr:colOff>
      <xdr:row>444</xdr:row>
      <xdr:rowOff>123824</xdr:rowOff>
    </xdr:from>
    <xdr:to>
      <xdr:col>20</xdr:col>
      <xdr:colOff>77561</xdr:colOff>
      <xdr:row>452</xdr:row>
      <xdr:rowOff>152400</xdr:rowOff>
    </xdr:to>
    <xdr:cxnSp macro="">
      <xdr:nvCxnSpPr>
        <xdr:cNvPr id="121" name="Straight Arrow Connector 120">
          <a:extLst>
            <a:ext uri="{FF2B5EF4-FFF2-40B4-BE49-F238E27FC236}">
              <a16:creationId xmlns:a16="http://schemas.microsoft.com/office/drawing/2014/main" xmlns="" id="{00000000-0008-0000-0600-000079000000}"/>
            </a:ext>
          </a:extLst>
        </xdr:cNvPr>
        <xdr:cNvCxnSpPr/>
      </xdr:nvCxnSpPr>
      <xdr:spPr>
        <a:xfrm flipH="1">
          <a:off x="6706961" y="21374099"/>
          <a:ext cx="0" cy="362902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171450</xdr:colOff>
      <xdr:row>452</xdr:row>
      <xdr:rowOff>127907</xdr:rowOff>
    </xdr:from>
    <xdr:to>
      <xdr:col>20</xdr:col>
      <xdr:colOff>102055</xdr:colOff>
      <xdr:row>452</xdr:row>
      <xdr:rowOff>257175</xdr:rowOff>
    </xdr:to>
    <xdr:cxnSp macro="">
      <xdr:nvCxnSpPr>
        <xdr:cNvPr id="122" name="Straight Arrow Connector 121">
          <a:extLst>
            <a:ext uri="{FF2B5EF4-FFF2-40B4-BE49-F238E27FC236}">
              <a16:creationId xmlns:a16="http://schemas.microsoft.com/office/drawing/2014/main" xmlns="" id="{00000000-0008-0000-0600-00007A000000}"/>
            </a:ext>
          </a:extLst>
        </xdr:cNvPr>
        <xdr:cNvCxnSpPr/>
      </xdr:nvCxnSpPr>
      <xdr:spPr>
        <a:xfrm flipH="1">
          <a:off x="4686300" y="24978632"/>
          <a:ext cx="2045155" cy="129268"/>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22266</xdr:colOff>
      <xdr:row>450</xdr:row>
      <xdr:rowOff>492453</xdr:rowOff>
    </xdr:from>
    <xdr:to>
      <xdr:col>10</xdr:col>
      <xdr:colOff>159946</xdr:colOff>
      <xdr:row>450</xdr:row>
      <xdr:rowOff>697674</xdr:rowOff>
    </xdr:to>
    <xdr:cxnSp macro="">
      <xdr:nvCxnSpPr>
        <xdr:cNvPr id="123" name="Straight Arrow Connector 122">
          <a:extLst>
            <a:ext uri="{FF2B5EF4-FFF2-40B4-BE49-F238E27FC236}">
              <a16:creationId xmlns:a16="http://schemas.microsoft.com/office/drawing/2014/main" xmlns="" id="{00000000-0008-0000-0600-00007B000000}"/>
            </a:ext>
          </a:extLst>
        </xdr:cNvPr>
        <xdr:cNvCxnSpPr/>
      </xdr:nvCxnSpPr>
      <xdr:spPr>
        <a:xfrm flipV="1">
          <a:off x="3127416" y="24200178"/>
          <a:ext cx="137680" cy="2052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87828</xdr:colOff>
      <xdr:row>450</xdr:row>
      <xdr:rowOff>476374</xdr:rowOff>
    </xdr:from>
    <xdr:to>
      <xdr:col>15</xdr:col>
      <xdr:colOff>394607</xdr:colOff>
      <xdr:row>450</xdr:row>
      <xdr:rowOff>721179</xdr:rowOff>
    </xdr:to>
    <xdr:cxnSp macro="">
      <xdr:nvCxnSpPr>
        <xdr:cNvPr id="124" name="Straight Arrow Connector 123">
          <a:extLst>
            <a:ext uri="{FF2B5EF4-FFF2-40B4-BE49-F238E27FC236}">
              <a16:creationId xmlns:a16="http://schemas.microsoft.com/office/drawing/2014/main" xmlns="" id="{00000000-0008-0000-0600-00007C000000}"/>
            </a:ext>
          </a:extLst>
        </xdr:cNvPr>
        <xdr:cNvCxnSpPr/>
      </xdr:nvCxnSpPr>
      <xdr:spPr>
        <a:xfrm flipH="1" flipV="1">
          <a:off x="4602678" y="24184099"/>
          <a:ext cx="621104" cy="24480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445</xdr:row>
      <xdr:rowOff>38100</xdr:rowOff>
    </xdr:from>
    <xdr:to>
      <xdr:col>17</xdr:col>
      <xdr:colOff>104775</xdr:colOff>
      <xdr:row>445</xdr:row>
      <xdr:rowOff>371474</xdr:rowOff>
    </xdr:to>
    <xdr:cxnSp macro="">
      <xdr:nvCxnSpPr>
        <xdr:cNvPr id="125" name="Straight Arrow Connector 124">
          <a:extLst>
            <a:ext uri="{FF2B5EF4-FFF2-40B4-BE49-F238E27FC236}">
              <a16:creationId xmlns:a16="http://schemas.microsoft.com/office/drawing/2014/main" xmlns="" id="{00000000-0008-0000-0600-00007D000000}"/>
            </a:ext>
          </a:extLst>
        </xdr:cNvPr>
        <xdr:cNvCxnSpPr/>
      </xdr:nvCxnSpPr>
      <xdr:spPr>
        <a:xfrm flipV="1">
          <a:off x="5676900" y="216979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455</xdr:row>
      <xdr:rowOff>47625</xdr:rowOff>
    </xdr:from>
    <xdr:to>
      <xdr:col>12</xdr:col>
      <xdr:colOff>133350</xdr:colOff>
      <xdr:row>456</xdr:row>
      <xdr:rowOff>0</xdr:rowOff>
    </xdr:to>
    <xdr:cxnSp macro="">
      <xdr:nvCxnSpPr>
        <xdr:cNvPr id="126" name="Straight Arrow Connector 125">
          <a:extLst>
            <a:ext uri="{FF2B5EF4-FFF2-40B4-BE49-F238E27FC236}">
              <a16:creationId xmlns:a16="http://schemas.microsoft.com/office/drawing/2014/main" xmlns="" id="{00000000-0008-0000-0600-00007E000000}"/>
            </a:ext>
          </a:extLst>
        </xdr:cNvPr>
        <xdr:cNvCxnSpPr/>
      </xdr:nvCxnSpPr>
      <xdr:spPr>
        <a:xfrm flipV="1">
          <a:off x="3933825" y="26069925"/>
          <a:ext cx="9525" cy="1428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123825</xdr:colOff>
      <xdr:row>388</xdr:row>
      <xdr:rowOff>19050</xdr:rowOff>
    </xdr:from>
    <xdr:to>
      <xdr:col>17</xdr:col>
      <xdr:colOff>123825</xdr:colOff>
      <xdr:row>388</xdr:row>
      <xdr:rowOff>381000</xdr:rowOff>
    </xdr:to>
    <xdr:cxnSp macro="">
      <xdr:nvCxnSpPr>
        <xdr:cNvPr id="127" name="Straight Arrow Connector 126">
          <a:extLst>
            <a:ext uri="{FF2B5EF4-FFF2-40B4-BE49-F238E27FC236}">
              <a16:creationId xmlns:a16="http://schemas.microsoft.com/office/drawing/2014/main" xmlns="" id="{00000000-0008-0000-0600-00007F000000}"/>
            </a:ext>
          </a:extLst>
        </xdr:cNvPr>
        <xdr:cNvCxnSpPr/>
      </xdr:nvCxnSpPr>
      <xdr:spPr>
        <a:xfrm flipV="1">
          <a:off x="5695950" y="186690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390</xdr:row>
      <xdr:rowOff>0</xdr:rowOff>
    </xdr:from>
    <xdr:to>
      <xdr:col>16</xdr:col>
      <xdr:colOff>247650</xdr:colOff>
      <xdr:row>391</xdr:row>
      <xdr:rowOff>247651</xdr:rowOff>
    </xdr:to>
    <xdr:cxnSp macro="">
      <xdr:nvCxnSpPr>
        <xdr:cNvPr id="128" name="Straight Arrow Connector 127">
          <a:extLst>
            <a:ext uri="{FF2B5EF4-FFF2-40B4-BE49-F238E27FC236}">
              <a16:creationId xmlns:a16="http://schemas.microsoft.com/office/drawing/2014/main" xmlns="" id="{00000000-0008-0000-0600-000080000000}"/>
            </a:ext>
          </a:extLst>
        </xdr:cNvPr>
        <xdr:cNvCxnSpPr/>
      </xdr:nvCxnSpPr>
      <xdr:spPr>
        <a:xfrm flipV="1">
          <a:off x="4562475" y="2667000"/>
          <a:ext cx="904875" cy="657226"/>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123825</xdr:colOff>
      <xdr:row>441</xdr:row>
      <xdr:rowOff>19050</xdr:rowOff>
    </xdr:from>
    <xdr:to>
      <xdr:col>17</xdr:col>
      <xdr:colOff>123825</xdr:colOff>
      <xdr:row>441</xdr:row>
      <xdr:rowOff>381000</xdr:rowOff>
    </xdr:to>
    <xdr:cxnSp macro="">
      <xdr:nvCxnSpPr>
        <xdr:cNvPr id="129" name="Straight Arrow Connector 128">
          <a:extLst>
            <a:ext uri="{FF2B5EF4-FFF2-40B4-BE49-F238E27FC236}">
              <a16:creationId xmlns:a16="http://schemas.microsoft.com/office/drawing/2014/main" xmlns="" id="{00000000-0008-0000-0600-000081000000}"/>
            </a:ext>
          </a:extLst>
        </xdr:cNvPr>
        <xdr:cNvCxnSpPr/>
      </xdr:nvCxnSpPr>
      <xdr:spPr>
        <a:xfrm flipV="1">
          <a:off x="5695950" y="2004060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443</xdr:row>
      <xdr:rowOff>38100</xdr:rowOff>
    </xdr:from>
    <xdr:to>
      <xdr:col>16</xdr:col>
      <xdr:colOff>219075</xdr:colOff>
      <xdr:row>444</xdr:row>
      <xdr:rowOff>228600</xdr:rowOff>
    </xdr:to>
    <xdr:cxnSp macro="">
      <xdr:nvCxnSpPr>
        <xdr:cNvPr id="130" name="Straight Arrow Connector 129">
          <a:extLst>
            <a:ext uri="{FF2B5EF4-FFF2-40B4-BE49-F238E27FC236}">
              <a16:creationId xmlns:a16="http://schemas.microsoft.com/office/drawing/2014/main" xmlns="" id="{00000000-0008-0000-0600-000082000000}"/>
            </a:ext>
          </a:extLst>
        </xdr:cNvPr>
        <xdr:cNvCxnSpPr/>
      </xdr:nvCxnSpPr>
      <xdr:spPr>
        <a:xfrm flipV="1">
          <a:off x="4533900" y="20878800"/>
          <a:ext cx="90487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59872</xdr:colOff>
      <xdr:row>466</xdr:row>
      <xdr:rowOff>108857</xdr:rowOff>
    </xdr:from>
    <xdr:to>
      <xdr:col>9</xdr:col>
      <xdr:colOff>325211</xdr:colOff>
      <xdr:row>466</xdr:row>
      <xdr:rowOff>108857</xdr:rowOff>
    </xdr:to>
    <xdr:cxnSp macro="">
      <xdr:nvCxnSpPr>
        <xdr:cNvPr id="131" name="Straight Arrow Connector 130">
          <a:extLst>
            <a:ext uri="{FF2B5EF4-FFF2-40B4-BE49-F238E27FC236}">
              <a16:creationId xmlns:a16="http://schemas.microsoft.com/office/drawing/2014/main" xmlns="" id="{00000000-0008-0000-0600-000083000000}"/>
            </a:ext>
          </a:extLst>
        </xdr:cNvPr>
        <xdr:cNvCxnSpPr/>
      </xdr:nvCxnSpPr>
      <xdr:spPr>
        <a:xfrm>
          <a:off x="2107747" y="2871243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468</xdr:row>
      <xdr:rowOff>100693</xdr:rowOff>
    </xdr:from>
    <xdr:to>
      <xdr:col>10</xdr:col>
      <xdr:colOff>12246</xdr:colOff>
      <xdr:row>468</xdr:row>
      <xdr:rowOff>100693</xdr:rowOff>
    </xdr:to>
    <xdr:cxnSp macro="">
      <xdr:nvCxnSpPr>
        <xdr:cNvPr id="132" name="Straight Arrow Connector 131">
          <a:extLst>
            <a:ext uri="{FF2B5EF4-FFF2-40B4-BE49-F238E27FC236}">
              <a16:creationId xmlns:a16="http://schemas.microsoft.com/office/drawing/2014/main" xmlns="" id="{00000000-0008-0000-0600-000084000000}"/>
            </a:ext>
          </a:extLst>
        </xdr:cNvPr>
        <xdr:cNvCxnSpPr/>
      </xdr:nvCxnSpPr>
      <xdr:spPr>
        <a:xfrm>
          <a:off x="2143125" y="2952341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40822</xdr:colOff>
      <xdr:row>470</xdr:row>
      <xdr:rowOff>68036</xdr:rowOff>
    </xdr:from>
    <xdr:to>
      <xdr:col>9</xdr:col>
      <xdr:colOff>325211</xdr:colOff>
      <xdr:row>470</xdr:row>
      <xdr:rowOff>68036</xdr:rowOff>
    </xdr:to>
    <xdr:cxnSp macro="">
      <xdr:nvCxnSpPr>
        <xdr:cNvPr id="133" name="Straight Arrow Connector 132">
          <a:extLst>
            <a:ext uri="{FF2B5EF4-FFF2-40B4-BE49-F238E27FC236}">
              <a16:creationId xmlns:a16="http://schemas.microsoft.com/office/drawing/2014/main" xmlns="" id="{00000000-0008-0000-0600-000085000000}"/>
            </a:ext>
          </a:extLst>
        </xdr:cNvPr>
        <xdr:cNvCxnSpPr/>
      </xdr:nvCxnSpPr>
      <xdr:spPr>
        <a:xfrm>
          <a:off x="2088697" y="30309911"/>
          <a:ext cx="98923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172811</xdr:colOff>
      <xdr:row>472</xdr:row>
      <xdr:rowOff>136072</xdr:rowOff>
    </xdr:from>
    <xdr:to>
      <xdr:col>10</xdr:col>
      <xdr:colOff>80282</xdr:colOff>
      <xdr:row>472</xdr:row>
      <xdr:rowOff>136072</xdr:rowOff>
    </xdr:to>
    <xdr:cxnSp macro="">
      <xdr:nvCxnSpPr>
        <xdr:cNvPr id="134" name="Straight Arrow Connector 133">
          <a:extLst>
            <a:ext uri="{FF2B5EF4-FFF2-40B4-BE49-F238E27FC236}">
              <a16:creationId xmlns:a16="http://schemas.microsoft.com/office/drawing/2014/main" xmlns="" id="{00000000-0008-0000-0600-000086000000}"/>
            </a:ext>
          </a:extLst>
        </xdr:cNvPr>
        <xdr:cNvCxnSpPr/>
      </xdr:nvCxnSpPr>
      <xdr:spPr>
        <a:xfrm>
          <a:off x="2220686" y="31197097"/>
          <a:ext cx="96474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474</xdr:row>
      <xdr:rowOff>118383</xdr:rowOff>
    </xdr:from>
    <xdr:to>
      <xdr:col>9</xdr:col>
      <xdr:colOff>352426</xdr:colOff>
      <xdr:row>474</xdr:row>
      <xdr:rowOff>118383</xdr:rowOff>
    </xdr:to>
    <xdr:cxnSp macro="">
      <xdr:nvCxnSpPr>
        <xdr:cNvPr id="135" name="Straight Arrow Connector 134">
          <a:extLst>
            <a:ext uri="{FF2B5EF4-FFF2-40B4-BE49-F238E27FC236}">
              <a16:creationId xmlns:a16="http://schemas.microsoft.com/office/drawing/2014/main" xmlns="" id="{00000000-0008-0000-0600-000087000000}"/>
            </a:ext>
          </a:extLst>
        </xdr:cNvPr>
        <xdr:cNvCxnSpPr/>
      </xdr:nvCxnSpPr>
      <xdr:spPr>
        <a:xfrm>
          <a:off x="2106387" y="3199855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478</xdr:row>
      <xdr:rowOff>146957</xdr:rowOff>
    </xdr:from>
    <xdr:to>
      <xdr:col>9</xdr:col>
      <xdr:colOff>252846</xdr:colOff>
      <xdr:row>478</xdr:row>
      <xdr:rowOff>152152</xdr:rowOff>
    </xdr:to>
    <xdr:cxnSp macro="">
      <xdr:nvCxnSpPr>
        <xdr:cNvPr id="136" name="Straight Arrow Connector 135">
          <a:extLst>
            <a:ext uri="{FF2B5EF4-FFF2-40B4-BE49-F238E27FC236}">
              <a16:creationId xmlns:a16="http://schemas.microsoft.com/office/drawing/2014/main" xmlns="" id="{00000000-0008-0000-0600-000088000000}"/>
            </a:ext>
          </a:extLst>
        </xdr:cNvPr>
        <xdr:cNvCxnSpPr/>
      </xdr:nvCxnSpPr>
      <xdr:spPr>
        <a:xfrm>
          <a:off x="1917247" y="3377973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480</xdr:row>
      <xdr:rowOff>136072</xdr:rowOff>
    </xdr:from>
    <xdr:to>
      <xdr:col>9</xdr:col>
      <xdr:colOff>257175</xdr:colOff>
      <xdr:row>480</xdr:row>
      <xdr:rowOff>136072</xdr:rowOff>
    </xdr:to>
    <xdr:cxnSp macro="">
      <xdr:nvCxnSpPr>
        <xdr:cNvPr id="137" name="Straight Arrow Connector 136">
          <a:extLst>
            <a:ext uri="{FF2B5EF4-FFF2-40B4-BE49-F238E27FC236}">
              <a16:creationId xmlns:a16="http://schemas.microsoft.com/office/drawing/2014/main" xmlns="" id="{00000000-0008-0000-0600-000089000000}"/>
            </a:ext>
          </a:extLst>
        </xdr:cNvPr>
        <xdr:cNvCxnSpPr/>
      </xdr:nvCxnSpPr>
      <xdr:spPr>
        <a:xfrm>
          <a:off x="1926771" y="3454989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142875</xdr:colOff>
      <xdr:row>479</xdr:row>
      <xdr:rowOff>66675</xdr:rowOff>
    </xdr:from>
    <xdr:to>
      <xdr:col>12</xdr:col>
      <xdr:colOff>142875</xdr:colOff>
      <xdr:row>479</xdr:row>
      <xdr:rowOff>352425</xdr:rowOff>
    </xdr:to>
    <xdr:cxnSp macro="">
      <xdr:nvCxnSpPr>
        <xdr:cNvPr id="138" name="Straight Arrow Connector 137">
          <a:extLst>
            <a:ext uri="{FF2B5EF4-FFF2-40B4-BE49-F238E27FC236}">
              <a16:creationId xmlns:a16="http://schemas.microsoft.com/office/drawing/2014/main" xmlns="" id="{00000000-0008-0000-0600-00008A000000}"/>
            </a:ext>
          </a:extLst>
        </xdr:cNvPr>
        <xdr:cNvCxnSpPr/>
      </xdr:nvCxnSpPr>
      <xdr:spPr>
        <a:xfrm flipV="1">
          <a:off x="3952875" y="34089975"/>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475</xdr:row>
      <xdr:rowOff>38101</xdr:rowOff>
    </xdr:from>
    <xdr:to>
      <xdr:col>12</xdr:col>
      <xdr:colOff>141515</xdr:colOff>
      <xdr:row>475</xdr:row>
      <xdr:rowOff>371475</xdr:rowOff>
    </xdr:to>
    <xdr:cxnSp macro="">
      <xdr:nvCxnSpPr>
        <xdr:cNvPr id="139" name="Straight Arrow Connector 138">
          <a:extLst>
            <a:ext uri="{FF2B5EF4-FFF2-40B4-BE49-F238E27FC236}">
              <a16:creationId xmlns:a16="http://schemas.microsoft.com/office/drawing/2014/main" xmlns="" id="{00000000-0008-0000-0600-00008B000000}"/>
            </a:ext>
          </a:extLst>
        </xdr:cNvPr>
        <xdr:cNvCxnSpPr/>
      </xdr:nvCxnSpPr>
      <xdr:spPr>
        <a:xfrm flipV="1">
          <a:off x="3951515" y="3232785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361950</xdr:colOff>
      <xdr:row>477</xdr:row>
      <xdr:rowOff>2721</xdr:rowOff>
    </xdr:from>
    <xdr:to>
      <xdr:col>11</xdr:col>
      <xdr:colOff>12246</xdr:colOff>
      <xdr:row>477</xdr:row>
      <xdr:rowOff>137802</xdr:rowOff>
    </xdr:to>
    <xdr:cxnSp macro="">
      <xdr:nvCxnSpPr>
        <xdr:cNvPr id="140" name="Straight Arrow Connector 139">
          <a:extLst>
            <a:ext uri="{FF2B5EF4-FFF2-40B4-BE49-F238E27FC236}">
              <a16:creationId xmlns:a16="http://schemas.microsoft.com/office/drawing/2014/main" xmlns="" id="{00000000-0008-0000-0600-00008C000000}"/>
            </a:ext>
          </a:extLst>
        </xdr:cNvPr>
        <xdr:cNvCxnSpPr/>
      </xdr:nvCxnSpPr>
      <xdr:spPr>
        <a:xfrm flipH="1" flipV="1">
          <a:off x="3105150" y="33444996"/>
          <a:ext cx="364671" cy="13508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476</xdr:row>
      <xdr:rowOff>870857</xdr:rowOff>
    </xdr:from>
    <xdr:to>
      <xdr:col>15</xdr:col>
      <xdr:colOff>326571</xdr:colOff>
      <xdr:row>478</xdr:row>
      <xdr:rowOff>40823</xdr:rowOff>
    </xdr:to>
    <xdr:cxnSp macro="">
      <xdr:nvCxnSpPr>
        <xdr:cNvPr id="141" name="Straight Arrow Connector 140">
          <a:extLst>
            <a:ext uri="{FF2B5EF4-FFF2-40B4-BE49-F238E27FC236}">
              <a16:creationId xmlns:a16="http://schemas.microsoft.com/office/drawing/2014/main" xmlns="" id="{00000000-0008-0000-0600-00008D000000}"/>
            </a:ext>
          </a:extLst>
        </xdr:cNvPr>
        <xdr:cNvCxnSpPr/>
      </xdr:nvCxnSpPr>
      <xdr:spPr>
        <a:xfrm flipV="1">
          <a:off x="4663168" y="33446357"/>
          <a:ext cx="530678" cy="22724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473</xdr:row>
      <xdr:rowOff>28576</xdr:rowOff>
    </xdr:from>
    <xdr:to>
      <xdr:col>12</xdr:col>
      <xdr:colOff>145596</xdr:colOff>
      <xdr:row>473</xdr:row>
      <xdr:rowOff>361950</xdr:rowOff>
    </xdr:to>
    <xdr:cxnSp macro="">
      <xdr:nvCxnSpPr>
        <xdr:cNvPr id="142" name="Straight Arrow Connector 141">
          <a:extLst>
            <a:ext uri="{FF2B5EF4-FFF2-40B4-BE49-F238E27FC236}">
              <a16:creationId xmlns:a16="http://schemas.microsoft.com/office/drawing/2014/main" xmlns="" id="{00000000-0008-0000-0600-00008E000000}"/>
            </a:ext>
          </a:extLst>
        </xdr:cNvPr>
        <xdr:cNvCxnSpPr/>
      </xdr:nvCxnSpPr>
      <xdr:spPr>
        <a:xfrm flipV="1">
          <a:off x="3955596" y="3149917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472</xdr:row>
      <xdr:rowOff>379641</xdr:rowOff>
    </xdr:from>
    <xdr:to>
      <xdr:col>16</xdr:col>
      <xdr:colOff>4082</xdr:colOff>
      <xdr:row>473</xdr:row>
      <xdr:rowOff>390525</xdr:rowOff>
    </xdr:to>
    <xdr:cxnSp macro="">
      <xdr:nvCxnSpPr>
        <xdr:cNvPr id="143" name="Straight Arrow Connector 142">
          <a:extLst>
            <a:ext uri="{FF2B5EF4-FFF2-40B4-BE49-F238E27FC236}">
              <a16:creationId xmlns:a16="http://schemas.microsoft.com/office/drawing/2014/main" xmlns="" id="{00000000-0008-0000-0600-00008F000000}"/>
            </a:ext>
          </a:extLst>
        </xdr:cNvPr>
        <xdr:cNvCxnSpPr/>
      </xdr:nvCxnSpPr>
      <xdr:spPr>
        <a:xfrm flipV="1">
          <a:off x="4552950" y="31440666"/>
          <a:ext cx="670832" cy="42045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155121</xdr:colOff>
      <xdr:row>471</xdr:row>
      <xdr:rowOff>35379</xdr:rowOff>
    </xdr:from>
    <xdr:to>
      <xdr:col>12</xdr:col>
      <xdr:colOff>155121</xdr:colOff>
      <xdr:row>471</xdr:row>
      <xdr:rowOff>368753</xdr:rowOff>
    </xdr:to>
    <xdr:cxnSp macro="">
      <xdr:nvCxnSpPr>
        <xdr:cNvPr id="144" name="Straight Arrow Connector 143">
          <a:extLst>
            <a:ext uri="{FF2B5EF4-FFF2-40B4-BE49-F238E27FC236}">
              <a16:creationId xmlns:a16="http://schemas.microsoft.com/office/drawing/2014/main" xmlns="" id="{00000000-0008-0000-0600-000090000000}"/>
            </a:ext>
          </a:extLst>
        </xdr:cNvPr>
        <xdr:cNvCxnSpPr/>
      </xdr:nvCxnSpPr>
      <xdr:spPr>
        <a:xfrm flipV="1">
          <a:off x="3965121" y="30686829"/>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100692</xdr:colOff>
      <xdr:row>470</xdr:row>
      <xdr:rowOff>141514</xdr:rowOff>
    </xdr:from>
    <xdr:to>
      <xdr:col>20</xdr:col>
      <xdr:colOff>74839</xdr:colOff>
      <xdr:row>470</xdr:row>
      <xdr:rowOff>151038</xdr:rowOff>
    </xdr:to>
    <xdr:cxnSp macro="">
      <xdr:nvCxnSpPr>
        <xdr:cNvPr id="145" name="Straight Arrow Connector 144">
          <a:extLst>
            <a:ext uri="{FF2B5EF4-FFF2-40B4-BE49-F238E27FC236}">
              <a16:creationId xmlns:a16="http://schemas.microsoft.com/office/drawing/2014/main" xmlns="" id="{00000000-0008-0000-0600-000091000000}"/>
            </a:ext>
          </a:extLst>
        </xdr:cNvPr>
        <xdr:cNvCxnSpPr/>
      </xdr:nvCxnSpPr>
      <xdr:spPr>
        <a:xfrm flipV="1">
          <a:off x="6377667" y="30383389"/>
          <a:ext cx="326572" cy="95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469</xdr:row>
      <xdr:rowOff>28575</xdr:rowOff>
    </xdr:from>
    <xdr:to>
      <xdr:col>12</xdr:col>
      <xdr:colOff>145596</xdr:colOff>
      <xdr:row>469</xdr:row>
      <xdr:rowOff>361949</xdr:rowOff>
    </xdr:to>
    <xdr:cxnSp macro="">
      <xdr:nvCxnSpPr>
        <xdr:cNvPr id="146" name="Straight Arrow Connector 145">
          <a:extLst>
            <a:ext uri="{FF2B5EF4-FFF2-40B4-BE49-F238E27FC236}">
              <a16:creationId xmlns:a16="http://schemas.microsoft.com/office/drawing/2014/main" xmlns="" id="{00000000-0008-0000-0600-000092000000}"/>
            </a:ext>
          </a:extLst>
        </xdr:cNvPr>
        <xdr:cNvCxnSpPr/>
      </xdr:nvCxnSpPr>
      <xdr:spPr>
        <a:xfrm flipV="1">
          <a:off x="3955596" y="298608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467</xdr:row>
      <xdr:rowOff>38100</xdr:rowOff>
    </xdr:from>
    <xdr:to>
      <xdr:col>12</xdr:col>
      <xdr:colOff>127908</xdr:colOff>
      <xdr:row>467</xdr:row>
      <xdr:rowOff>371474</xdr:rowOff>
    </xdr:to>
    <xdr:cxnSp macro="">
      <xdr:nvCxnSpPr>
        <xdr:cNvPr id="147" name="Straight Arrow Connector 146">
          <a:extLst>
            <a:ext uri="{FF2B5EF4-FFF2-40B4-BE49-F238E27FC236}">
              <a16:creationId xmlns:a16="http://schemas.microsoft.com/office/drawing/2014/main" xmlns="" id="{00000000-0008-0000-0600-000093000000}"/>
            </a:ext>
          </a:extLst>
        </xdr:cNvPr>
        <xdr:cNvCxnSpPr/>
      </xdr:nvCxnSpPr>
      <xdr:spPr>
        <a:xfrm flipV="1">
          <a:off x="3937908" y="290512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104775</xdr:colOff>
      <xdr:row>470</xdr:row>
      <xdr:rowOff>123824</xdr:rowOff>
    </xdr:from>
    <xdr:to>
      <xdr:col>20</xdr:col>
      <xdr:colOff>115661</xdr:colOff>
      <xdr:row>478</xdr:row>
      <xdr:rowOff>247650</xdr:rowOff>
    </xdr:to>
    <xdr:cxnSp macro="">
      <xdr:nvCxnSpPr>
        <xdr:cNvPr id="148" name="Straight Arrow Connector 147">
          <a:extLst>
            <a:ext uri="{FF2B5EF4-FFF2-40B4-BE49-F238E27FC236}">
              <a16:creationId xmlns:a16="http://schemas.microsoft.com/office/drawing/2014/main" xmlns="" id="{00000000-0008-0000-0600-000094000000}"/>
            </a:ext>
          </a:extLst>
        </xdr:cNvPr>
        <xdr:cNvCxnSpPr/>
      </xdr:nvCxnSpPr>
      <xdr:spPr>
        <a:xfrm flipH="1">
          <a:off x="6734175" y="30365699"/>
          <a:ext cx="10886" cy="351472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171451</xdr:colOff>
      <xdr:row>478</xdr:row>
      <xdr:rowOff>219075</xdr:rowOff>
    </xdr:from>
    <xdr:to>
      <xdr:col>20</xdr:col>
      <xdr:colOff>95250</xdr:colOff>
      <xdr:row>478</xdr:row>
      <xdr:rowOff>257175</xdr:rowOff>
    </xdr:to>
    <xdr:cxnSp macro="">
      <xdr:nvCxnSpPr>
        <xdr:cNvPr id="149" name="Straight Arrow Connector 148">
          <a:extLst>
            <a:ext uri="{FF2B5EF4-FFF2-40B4-BE49-F238E27FC236}">
              <a16:creationId xmlns:a16="http://schemas.microsoft.com/office/drawing/2014/main" xmlns="" id="{00000000-0008-0000-0600-000095000000}"/>
            </a:ext>
          </a:extLst>
        </xdr:cNvPr>
        <xdr:cNvCxnSpPr/>
      </xdr:nvCxnSpPr>
      <xdr:spPr>
        <a:xfrm flipH="1">
          <a:off x="4686301" y="33851850"/>
          <a:ext cx="2038349" cy="381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22266</xdr:colOff>
      <xdr:row>476</xdr:row>
      <xdr:rowOff>419100</xdr:rowOff>
    </xdr:from>
    <xdr:to>
      <xdr:col>11</xdr:col>
      <xdr:colOff>38100</xdr:colOff>
      <xdr:row>476</xdr:row>
      <xdr:rowOff>430975</xdr:rowOff>
    </xdr:to>
    <xdr:cxnSp macro="">
      <xdr:nvCxnSpPr>
        <xdr:cNvPr id="150" name="Straight Arrow Connector 149">
          <a:extLst>
            <a:ext uri="{FF2B5EF4-FFF2-40B4-BE49-F238E27FC236}">
              <a16:creationId xmlns:a16="http://schemas.microsoft.com/office/drawing/2014/main" xmlns="" id="{00000000-0008-0000-0600-000096000000}"/>
            </a:ext>
          </a:extLst>
        </xdr:cNvPr>
        <xdr:cNvCxnSpPr/>
      </xdr:nvCxnSpPr>
      <xdr:spPr>
        <a:xfrm flipV="1">
          <a:off x="3127416" y="33118425"/>
          <a:ext cx="368259" cy="118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21153</xdr:colOff>
      <xdr:row>476</xdr:row>
      <xdr:rowOff>409700</xdr:rowOff>
    </xdr:from>
    <xdr:to>
      <xdr:col>16</xdr:col>
      <xdr:colOff>19050</xdr:colOff>
      <xdr:row>476</xdr:row>
      <xdr:rowOff>447675</xdr:rowOff>
    </xdr:to>
    <xdr:cxnSp macro="">
      <xdr:nvCxnSpPr>
        <xdr:cNvPr id="151" name="Straight Arrow Connector 150">
          <a:extLst>
            <a:ext uri="{FF2B5EF4-FFF2-40B4-BE49-F238E27FC236}">
              <a16:creationId xmlns:a16="http://schemas.microsoft.com/office/drawing/2014/main" xmlns="" id="{00000000-0008-0000-0600-000097000000}"/>
            </a:ext>
          </a:extLst>
        </xdr:cNvPr>
        <xdr:cNvCxnSpPr/>
      </xdr:nvCxnSpPr>
      <xdr:spPr>
        <a:xfrm flipH="1" flipV="1">
          <a:off x="4536003" y="33109025"/>
          <a:ext cx="702747" cy="379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471</xdr:row>
      <xdr:rowOff>38100</xdr:rowOff>
    </xdr:from>
    <xdr:to>
      <xdr:col>17</xdr:col>
      <xdr:colOff>104775</xdr:colOff>
      <xdr:row>471</xdr:row>
      <xdr:rowOff>371474</xdr:rowOff>
    </xdr:to>
    <xdr:cxnSp macro="">
      <xdr:nvCxnSpPr>
        <xdr:cNvPr id="152" name="Straight Arrow Connector 151">
          <a:extLst>
            <a:ext uri="{FF2B5EF4-FFF2-40B4-BE49-F238E27FC236}">
              <a16:creationId xmlns:a16="http://schemas.microsoft.com/office/drawing/2014/main" xmlns="" id="{00000000-0008-0000-0600-000098000000}"/>
            </a:ext>
          </a:extLst>
        </xdr:cNvPr>
        <xdr:cNvCxnSpPr/>
      </xdr:nvCxnSpPr>
      <xdr:spPr>
        <a:xfrm flipV="1">
          <a:off x="5676900" y="306895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142875</xdr:colOff>
      <xdr:row>481</xdr:row>
      <xdr:rowOff>1</xdr:rowOff>
    </xdr:from>
    <xdr:to>
      <xdr:col>12</xdr:col>
      <xdr:colOff>161925</xdr:colOff>
      <xdr:row>482</xdr:row>
      <xdr:rowOff>38100</xdr:rowOff>
    </xdr:to>
    <xdr:cxnSp macro="">
      <xdr:nvCxnSpPr>
        <xdr:cNvPr id="153" name="Straight Arrow Connector 152">
          <a:extLst>
            <a:ext uri="{FF2B5EF4-FFF2-40B4-BE49-F238E27FC236}">
              <a16:creationId xmlns:a16="http://schemas.microsoft.com/office/drawing/2014/main" xmlns="" id="{00000000-0008-0000-0600-000099000000}"/>
            </a:ext>
          </a:extLst>
        </xdr:cNvPr>
        <xdr:cNvCxnSpPr/>
      </xdr:nvCxnSpPr>
      <xdr:spPr>
        <a:xfrm flipH="1" flipV="1">
          <a:off x="3952875" y="34804351"/>
          <a:ext cx="19050" cy="228599"/>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123825</xdr:colOff>
      <xdr:row>467</xdr:row>
      <xdr:rowOff>19050</xdr:rowOff>
    </xdr:from>
    <xdr:to>
      <xdr:col>17</xdr:col>
      <xdr:colOff>123825</xdr:colOff>
      <xdr:row>467</xdr:row>
      <xdr:rowOff>381000</xdr:rowOff>
    </xdr:to>
    <xdr:cxnSp macro="">
      <xdr:nvCxnSpPr>
        <xdr:cNvPr id="154" name="Straight Arrow Connector 153">
          <a:extLst>
            <a:ext uri="{FF2B5EF4-FFF2-40B4-BE49-F238E27FC236}">
              <a16:creationId xmlns:a16="http://schemas.microsoft.com/office/drawing/2014/main" xmlns="" id="{00000000-0008-0000-0600-00009A000000}"/>
            </a:ext>
          </a:extLst>
        </xdr:cNvPr>
        <xdr:cNvCxnSpPr/>
      </xdr:nvCxnSpPr>
      <xdr:spPr>
        <a:xfrm flipV="1">
          <a:off x="5695950" y="2903220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469</xdr:row>
      <xdr:rowOff>38100</xdr:rowOff>
    </xdr:from>
    <xdr:to>
      <xdr:col>16</xdr:col>
      <xdr:colOff>219075</xdr:colOff>
      <xdr:row>470</xdr:row>
      <xdr:rowOff>228600</xdr:rowOff>
    </xdr:to>
    <xdr:cxnSp macro="">
      <xdr:nvCxnSpPr>
        <xdr:cNvPr id="155" name="Straight Arrow Connector 154">
          <a:extLst>
            <a:ext uri="{FF2B5EF4-FFF2-40B4-BE49-F238E27FC236}">
              <a16:creationId xmlns:a16="http://schemas.microsoft.com/office/drawing/2014/main" xmlns="" id="{00000000-0008-0000-0600-00009B000000}"/>
            </a:ext>
          </a:extLst>
        </xdr:cNvPr>
        <xdr:cNvCxnSpPr/>
      </xdr:nvCxnSpPr>
      <xdr:spPr>
        <a:xfrm flipV="1">
          <a:off x="4533900" y="29870400"/>
          <a:ext cx="90487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59872</xdr:colOff>
      <xdr:row>493</xdr:row>
      <xdr:rowOff>108857</xdr:rowOff>
    </xdr:from>
    <xdr:to>
      <xdr:col>9</xdr:col>
      <xdr:colOff>325211</xdr:colOff>
      <xdr:row>493</xdr:row>
      <xdr:rowOff>108857</xdr:rowOff>
    </xdr:to>
    <xdr:cxnSp macro="">
      <xdr:nvCxnSpPr>
        <xdr:cNvPr id="156" name="Straight Arrow Connector 155">
          <a:extLst>
            <a:ext uri="{FF2B5EF4-FFF2-40B4-BE49-F238E27FC236}">
              <a16:creationId xmlns:a16="http://schemas.microsoft.com/office/drawing/2014/main" xmlns="" id="{00000000-0008-0000-0600-00009C000000}"/>
            </a:ext>
          </a:extLst>
        </xdr:cNvPr>
        <xdr:cNvCxnSpPr/>
      </xdr:nvCxnSpPr>
      <xdr:spPr>
        <a:xfrm>
          <a:off x="2107747" y="3757068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495</xdr:row>
      <xdr:rowOff>100693</xdr:rowOff>
    </xdr:from>
    <xdr:to>
      <xdr:col>10</xdr:col>
      <xdr:colOff>12246</xdr:colOff>
      <xdr:row>495</xdr:row>
      <xdr:rowOff>100693</xdr:rowOff>
    </xdr:to>
    <xdr:cxnSp macro="">
      <xdr:nvCxnSpPr>
        <xdr:cNvPr id="157" name="Straight Arrow Connector 156">
          <a:extLst>
            <a:ext uri="{FF2B5EF4-FFF2-40B4-BE49-F238E27FC236}">
              <a16:creationId xmlns:a16="http://schemas.microsoft.com/office/drawing/2014/main" xmlns="" id="{00000000-0008-0000-0600-00009D000000}"/>
            </a:ext>
          </a:extLst>
        </xdr:cNvPr>
        <xdr:cNvCxnSpPr/>
      </xdr:nvCxnSpPr>
      <xdr:spPr>
        <a:xfrm>
          <a:off x="2143125" y="3855311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497</xdr:row>
      <xdr:rowOff>118383</xdr:rowOff>
    </xdr:from>
    <xdr:to>
      <xdr:col>9</xdr:col>
      <xdr:colOff>352426</xdr:colOff>
      <xdr:row>497</xdr:row>
      <xdr:rowOff>118383</xdr:rowOff>
    </xdr:to>
    <xdr:cxnSp macro="">
      <xdr:nvCxnSpPr>
        <xdr:cNvPr id="158" name="Straight Arrow Connector 157">
          <a:extLst>
            <a:ext uri="{FF2B5EF4-FFF2-40B4-BE49-F238E27FC236}">
              <a16:creationId xmlns:a16="http://schemas.microsoft.com/office/drawing/2014/main" xmlns="" id="{00000000-0008-0000-0600-00009E000000}"/>
            </a:ext>
          </a:extLst>
        </xdr:cNvPr>
        <xdr:cNvCxnSpPr/>
      </xdr:nvCxnSpPr>
      <xdr:spPr>
        <a:xfrm>
          <a:off x="2106387" y="3956140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501</xdr:row>
      <xdr:rowOff>146957</xdr:rowOff>
    </xdr:from>
    <xdr:to>
      <xdr:col>9</xdr:col>
      <xdr:colOff>252846</xdr:colOff>
      <xdr:row>501</xdr:row>
      <xdr:rowOff>152152</xdr:rowOff>
    </xdr:to>
    <xdr:cxnSp macro="">
      <xdr:nvCxnSpPr>
        <xdr:cNvPr id="159" name="Straight Arrow Connector 158">
          <a:extLst>
            <a:ext uri="{FF2B5EF4-FFF2-40B4-BE49-F238E27FC236}">
              <a16:creationId xmlns:a16="http://schemas.microsoft.com/office/drawing/2014/main" xmlns="" id="{00000000-0008-0000-0600-00009F000000}"/>
            </a:ext>
          </a:extLst>
        </xdr:cNvPr>
        <xdr:cNvCxnSpPr/>
      </xdr:nvCxnSpPr>
      <xdr:spPr>
        <a:xfrm>
          <a:off x="1917247" y="4157118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503</xdr:row>
      <xdr:rowOff>136072</xdr:rowOff>
    </xdr:from>
    <xdr:to>
      <xdr:col>9</xdr:col>
      <xdr:colOff>257175</xdr:colOff>
      <xdr:row>503</xdr:row>
      <xdr:rowOff>136072</xdr:rowOff>
    </xdr:to>
    <xdr:cxnSp macro="">
      <xdr:nvCxnSpPr>
        <xdr:cNvPr id="160" name="Straight Arrow Connector 159">
          <a:extLst>
            <a:ext uri="{FF2B5EF4-FFF2-40B4-BE49-F238E27FC236}">
              <a16:creationId xmlns:a16="http://schemas.microsoft.com/office/drawing/2014/main" xmlns="" id="{00000000-0008-0000-0600-0000A0000000}"/>
            </a:ext>
          </a:extLst>
        </xdr:cNvPr>
        <xdr:cNvCxnSpPr/>
      </xdr:nvCxnSpPr>
      <xdr:spPr>
        <a:xfrm>
          <a:off x="1926771" y="4255089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502</xdr:row>
      <xdr:rowOff>9525</xdr:rowOff>
    </xdr:from>
    <xdr:to>
      <xdr:col>11</xdr:col>
      <xdr:colOff>314325</xdr:colOff>
      <xdr:row>502</xdr:row>
      <xdr:rowOff>295275</xdr:rowOff>
    </xdr:to>
    <xdr:cxnSp macro="">
      <xdr:nvCxnSpPr>
        <xdr:cNvPr id="161" name="Straight Arrow Connector 160">
          <a:extLst>
            <a:ext uri="{FF2B5EF4-FFF2-40B4-BE49-F238E27FC236}">
              <a16:creationId xmlns:a16="http://schemas.microsoft.com/office/drawing/2014/main" xmlns="" id="{00000000-0008-0000-0600-0000A1000000}"/>
            </a:ext>
          </a:extLst>
        </xdr:cNvPr>
        <xdr:cNvCxnSpPr/>
      </xdr:nvCxnSpPr>
      <xdr:spPr>
        <a:xfrm flipV="1">
          <a:off x="3762375" y="41929050"/>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498</xdr:row>
      <xdr:rowOff>38101</xdr:rowOff>
    </xdr:from>
    <xdr:to>
      <xdr:col>12</xdr:col>
      <xdr:colOff>141515</xdr:colOff>
      <xdr:row>498</xdr:row>
      <xdr:rowOff>371475</xdr:rowOff>
    </xdr:to>
    <xdr:cxnSp macro="">
      <xdr:nvCxnSpPr>
        <xdr:cNvPr id="162" name="Straight Arrow Connector 161">
          <a:extLst>
            <a:ext uri="{FF2B5EF4-FFF2-40B4-BE49-F238E27FC236}">
              <a16:creationId xmlns:a16="http://schemas.microsoft.com/office/drawing/2014/main" xmlns="" id="{00000000-0008-0000-0600-0000A2000000}"/>
            </a:ext>
          </a:extLst>
        </xdr:cNvPr>
        <xdr:cNvCxnSpPr/>
      </xdr:nvCxnSpPr>
      <xdr:spPr>
        <a:xfrm flipV="1">
          <a:off x="3951515" y="3997642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499</xdr:row>
      <xdr:rowOff>870857</xdr:rowOff>
    </xdr:from>
    <xdr:to>
      <xdr:col>15</xdr:col>
      <xdr:colOff>326571</xdr:colOff>
      <xdr:row>501</xdr:row>
      <xdr:rowOff>40823</xdr:rowOff>
    </xdr:to>
    <xdr:cxnSp macro="">
      <xdr:nvCxnSpPr>
        <xdr:cNvPr id="163" name="Straight Arrow Connector 162">
          <a:extLst>
            <a:ext uri="{FF2B5EF4-FFF2-40B4-BE49-F238E27FC236}">
              <a16:creationId xmlns:a16="http://schemas.microsoft.com/office/drawing/2014/main" xmlns="" id="{00000000-0008-0000-0600-0000A3000000}"/>
            </a:ext>
          </a:extLst>
        </xdr:cNvPr>
        <xdr:cNvCxnSpPr/>
      </xdr:nvCxnSpPr>
      <xdr:spPr>
        <a:xfrm flipV="1">
          <a:off x="4663168" y="40933007"/>
          <a:ext cx="530678" cy="53204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496</xdr:row>
      <xdr:rowOff>28575</xdr:rowOff>
    </xdr:from>
    <xdr:to>
      <xdr:col>12</xdr:col>
      <xdr:colOff>145596</xdr:colOff>
      <xdr:row>496</xdr:row>
      <xdr:rowOff>361949</xdr:rowOff>
    </xdr:to>
    <xdr:cxnSp macro="">
      <xdr:nvCxnSpPr>
        <xdr:cNvPr id="164" name="Straight Arrow Connector 163">
          <a:extLst>
            <a:ext uri="{FF2B5EF4-FFF2-40B4-BE49-F238E27FC236}">
              <a16:creationId xmlns:a16="http://schemas.microsoft.com/office/drawing/2014/main" xmlns="" id="{00000000-0008-0000-0600-0000A4000000}"/>
            </a:ext>
          </a:extLst>
        </xdr:cNvPr>
        <xdr:cNvCxnSpPr/>
      </xdr:nvCxnSpPr>
      <xdr:spPr>
        <a:xfrm flipV="1">
          <a:off x="3955596" y="3897630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494</xdr:row>
      <xdr:rowOff>38100</xdr:rowOff>
    </xdr:from>
    <xdr:to>
      <xdr:col>12</xdr:col>
      <xdr:colOff>127908</xdr:colOff>
      <xdr:row>494</xdr:row>
      <xdr:rowOff>371474</xdr:rowOff>
    </xdr:to>
    <xdr:cxnSp macro="">
      <xdr:nvCxnSpPr>
        <xdr:cNvPr id="165" name="Straight Arrow Connector 164">
          <a:extLst>
            <a:ext uri="{FF2B5EF4-FFF2-40B4-BE49-F238E27FC236}">
              <a16:creationId xmlns:a16="http://schemas.microsoft.com/office/drawing/2014/main" xmlns="" id="{00000000-0008-0000-0600-0000A5000000}"/>
            </a:ext>
          </a:extLst>
        </xdr:cNvPr>
        <xdr:cNvCxnSpPr/>
      </xdr:nvCxnSpPr>
      <xdr:spPr>
        <a:xfrm flipV="1">
          <a:off x="3937908" y="3799522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87828</xdr:colOff>
      <xdr:row>499</xdr:row>
      <xdr:rowOff>476374</xdr:rowOff>
    </xdr:from>
    <xdr:to>
      <xdr:col>15</xdr:col>
      <xdr:colOff>394607</xdr:colOff>
      <xdr:row>499</xdr:row>
      <xdr:rowOff>721179</xdr:rowOff>
    </xdr:to>
    <xdr:cxnSp macro="">
      <xdr:nvCxnSpPr>
        <xdr:cNvPr id="166" name="Straight Arrow Connector 165">
          <a:extLst>
            <a:ext uri="{FF2B5EF4-FFF2-40B4-BE49-F238E27FC236}">
              <a16:creationId xmlns:a16="http://schemas.microsoft.com/office/drawing/2014/main" xmlns="" id="{00000000-0008-0000-0600-0000A6000000}"/>
            </a:ext>
          </a:extLst>
        </xdr:cNvPr>
        <xdr:cNvCxnSpPr/>
      </xdr:nvCxnSpPr>
      <xdr:spPr>
        <a:xfrm flipH="1" flipV="1">
          <a:off x="4602678" y="40909999"/>
          <a:ext cx="621104" cy="1620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504</xdr:row>
      <xdr:rowOff>47625</xdr:rowOff>
    </xdr:from>
    <xdr:to>
      <xdr:col>12</xdr:col>
      <xdr:colOff>133350</xdr:colOff>
      <xdr:row>505</xdr:row>
      <xdr:rowOff>0</xdr:rowOff>
    </xdr:to>
    <xdr:cxnSp macro="">
      <xdr:nvCxnSpPr>
        <xdr:cNvPr id="167" name="Straight Arrow Connector 166">
          <a:extLst>
            <a:ext uri="{FF2B5EF4-FFF2-40B4-BE49-F238E27FC236}">
              <a16:creationId xmlns:a16="http://schemas.microsoft.com/office/drawing/2014/main" xmlns="" id="{00000000-0008-0000-0600-0000A7000000}"/>
            </a:ext>
          </a:extLst>
        </xdr:cNvPr>
        <xdr:cNvCxnSpPr/>
      </xdr:nvCxnSpPr>
      <xdr:spPr>
        <a:xfrm flipV="1">
          <a:off x="3933825" y="42957750"/>
          <a:ext cx="9525" cy="30480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295275</xdr:colOff>
      <xdr:row>499</xdr:row>
      <xdr:rowOff>76200</xdr:rowOff>
    </xdr:from>
    <xdr:to>
      <xdr:col>10</xdr:col>
      <xdr:colOff>19050</xdr:colOff>
      <xdr:row>499</xdr:row>
      <xdr:rowOff>85725</xdr:rowOff>
    </xdr:to>
    <xdr:cxnSp macro="">
      <xdr:nvCxnSpPr>
        <xdr:cNvPr id="168" name="Straight Arrow Connector 167">
          <a:extLst>
            <a:ext uri="{FF2B5EF4-FFF2-40B4-BE49-F238E27FC236}">
              <a16:creationId xmlns:a16="http://schemas.microsoft.com/office/drawing/2014/main" xmlns="" id="{00000000-0008-0000-0600-0000A8000000}"/>
            </a:ext>
          </a:extLst>
        </xdr:cNvPr>
        <xdr:cNvCxnSpPr/>
      </xdr:nvCxnSpPr>
      <xdr:spPr>
        <a:xfrm flipV="1">
          <a:off x="1990725" y="40509825"/>
          <a:ext cx="1133475" cy="95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59872</xdr:colOff>
      <xdr:row>517</xdr:row>
      <xdr:rowOff>108857</xdr:rowOff>
    </xdr:from>
    <xdr:to>
      <xdr:col>9</xdr:col>
      <xdr:colOff>325211</xdr:colOff>
      <xdr:row>517</xdr:row>
      <xdr:rowOff>108857</xdr:rowOff>
    </xdr:to>
    <xdr:cxnSp macro="">
      <xdr:nvCxnSpPr>
        <xdr:cNvPr id="169" name="Straight Arrow Connector 168">
          <a:extLst>
            <a:ext uri="{FF2B5EF4-FFF2-40B4-BE49-F238E27FC236}">
              <a16:creationId xmlns:a16="http://schemas.microsoft.com/office/drawing/2014/main" xmlns="" id="{00000000-0008-0000-0600-0000A9000000}"/>
            </a:ext>
          </a:extLst>
        </xdr:cNvPr>
        <xdr:cNvCxnSpPr/>
      </xdr:nvCxnSpPr>
      <xdr:spPr>
        <a:xfrm>
          <a:off x="2107747" y="46352732"/>
          <a:ext cx="97018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519</xdr:row>
      <xdr:rowOff>100693</xdr:rowOff>
    </xdr:from>
    <xdr:to>
      <xdr:col>10</xdr:col>
      <xdr:colOff>12246</xdr:colOff>
      <xdr:row>519</xdr:row>
      <xdr:rowOff>100693</xdr:rowOff>
    </xdr:to>
    <xdr:cxnSp macro="">
      <xdr:nvCxnSpPr>
        <xdr:cNvPr id="170" name="Straight Arrow Connector 169">
          <a:extLst>
            <a:ext uri="{FF2B5EF4-FFF2-40B4-BE49-F238E27FC236}">
              <a16:creationId xmlns:a16="http://schemas.microsoft.com/office/drawing/2014/main" xmlns="" id="{00000000-0008-0000-0600-0000AA000000}"/>
            </a:ext>
          </a:extLst>
        </xdr:cNvPr>
        <xdr:cNvCxnSpPr/>
      </xdr:nvCxnSpPr>
      <xdr:spPr>
        <a:xfrm>
          <a:off x="2143125" y="47373268"/>
          <a:ext cx="97427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58512</xdr:colOff>
      <xdr:row>521</xdr:row>
      <xdr:rowOff>118383</xdr:rowOff>
    </xdr:from>
    <xdr:to>
      <xdr:col>9</xdr:col>
      <xdr:colOff>352426</xdr:colOff>
      <xdr:row>521</xdr:row>
      <xdr:rowOff>118383</xdr:rowOff>
    </xdr:to>
    <xdr:cxnSp macro="">
      <xdr:nvCxnSpPr>
        <xdr:cNvPr id="171" name="Straight Arrow Connector 170">
          <a:extLst>
            <a:ext uri="{FF2B5EF4-FFF2-40B4-BE49-F238E27FC236}">
              <a16:creationId xmlns:a16="http://schemas.microsoft.com/office/drawing/2014/main" xmlns="" id="{00000000-0008-0000-0600-0000AB000000}"/>
            </a:ext>
          </a:extLst>
        </xdr:cNvPr>
        <xdr:cNvCxnSpPr/>
      </xdr:nvCxnSpPr>
      <xdr:spPr>
        <a:xfrm>
          <a:off x="2106387" y="48419658"/>
          <a:ext cx="998764"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221797</xdr:colOff>
      <xdr:row>525</xdr:row>
      <xdr:rowOff>146957</xdr:rowOff>
    </xdr:from>
    <xdr:to>
      <xdr:col>9</xdr:col>
      <xdr:colOff>252846</xdr:colOff>
      <xdr:row>525</xdr:row>
      <xdr:rowOff>152152</xdr:rowOff>
    </xdr:to>
    <xdr:cxnSp macro="">
      <xdr:nvCxnSpPr>
        <xdr:cNvPr id="172" name="Straight Arrow Connector 171">
          <a:extLst>
            <a:ext uri="{FF2B5EF4-FFF2-40B4-BE49-F238E27FC236}">
              <a16:creationId xmlns:a16="http://schemas.microsoft.com/office/drawing/2014/main" xmlns="" id="{00000000-0008-0000-0600-0000AC000000}"/>
            </a:ext>
          </a:extLst>
        </xdr:cNvPr>
        <xdr:cNvCxnSpPr/>
      </xdr:nvCxnSpPr>
      <xdr:spPr>
        <a:xfrm>
          <a:off x="1917247" y="50505632"/>
          <a:ext cx="1088324"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231321</xdr:colOff>
      <xdr:row>527</xdr:row>
      <xdr:rowOff>136072</xdr:rowOff>
    </xdr:from>
    <xdr:to>
      <xdr:col>9</xdr:col>
      <xdr:colOff>257175</xdr:colOff>
      <xdr:row>527</xdr:row>
      <xdr:rowOff>136072</xdr:rowOff>
    </xdr:to>
    <xdr:cxnSp macro="">
      <xdr:nvCxnSpPr>
        <xdr:cNvPr id="173" name="Straight Arrow Connector 172">
          <a:extLst>
            <a:ext uri="{FF2B5EF4-FFF2-40B4-BE49-F238E27FC236}">
              <a16:creationId xmlns:a16="http://schemas.microsoft.com/office/drawing/2014/main" xmlns="" id="{00000000-0008-0000-0600-0000AD000000}"/>
            </a:ext>
          </a:extLst>
        </xdr:cNvPr>
        <xdr:cNvCxnSpPr/>
      </xdr:nvCxnSpPr>
      <xdr:spPr>
        <a:xfrm>
          <a:off x="1926771" y="51523447"/>
          <a:ext cx="1083129"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304800</xdr:colOff>
      <xdr:row>526</xdr:row>
      <xdr:rowOff>9525</xdr:rowOff>
    </xdr:from>
    <xdr:to>
      <xdr:col>11</xdr:col>
      <xdr:colOff>314325</xdr:colOff>
      <xdr:row>526</xdr:row>
      <xdr:rowOff>295275</xdr:rowOff>
    </xdr:to>
    <xdr:cxnSp macro="">
      <xdr:nvCxnSpPr>
        <xdr:cNvPr id="174" name="Straight Arrow Connector 173">
          <a:extLst>
            <a:ext uri="{FF2B5EF4-FFF2-40B4-BE49-F238E27FC236}">
              <a16:creationId xmlns:a16="http://schemas.microsoft.com/office/drawing/2014/main" xmlns="" id="{00000000-0008-0000-0600-0000AE000000}"/>
            </a:ext>
          </a:extLst>
        </xdr:cNvPr>
        <xdr:cNvCxnSpPr/>
      </xdr:nvCxnSpPr>
      <xdr:spPr>
        <a:xfrm flipV="1">
          <a:off x="3762375" y="50882550"/>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141515</xdr:colOff>
      <xdr:row>522</xdr:row>
      <xdr:rowOff>38101</xdr:rowOff>
    </xdr:from>
    <xdr:to>
      <xdr:col>12</xdr:col>
      <xdr:colOff>141515</xdr:colOff>
      <xdr:row>522</xdr:row>
      <xdr:rowOff>371475</xdr:rowOff>
    </xdr:to>
    <xdr:cxnSp macro="">
      <xdr:nvCxnSpPr>
        <xdr:cNvPr id="175" name="Straight Arrow Connector 174">
          <a:extLst>
            <a:ext uri="{FF2B5EF4-FFF2-40B4-BE49-F238E27FC236}">
              <a16:creationId xmlns:a16="http://schemas.microsoft.com/office/drawing/2014/main" xmlns="" id="{00000000-0008-0000-0600-0000AF000000}"/>
            </a:ext>
          </a:extLst>
        </xdr:cNvPr>
        <xdr:cNvCxnSpPr/>
      </xdr:nvCxnSpPr>
      <xdr:spPr>
        <a:xfrm flipV="1">
          <a:off x="3951515" y="4885372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148318</xdr:colOff>
      <xdr:row>523</xdr:row>
      <xdr:rowOff>870857</xdr:rowOff>
    </xdr:from>
    <xdr:to>
      <xdr:col>15</xdr:col>
      <xdr:colOff>326571</xdr:colOff>
      <xdr:row>525</xdr:row>
      <xdr:rowOff>40823</xdr:rowOff>
    </xdr:to>
    <xdr:cxnSp macro="">
      <xdr:nvCxnSpPr>
        <xdr:cNvPr id="176" name="Straight Arrow Connector 175">
          <a:extLst>
            <a:ext uri="{FF2B5EF4-FFF2-40B4-BE49-F238E27FC236}">
              <a16:creationId xmlns:a16="http://schemas.microsoft.com/office/drawing/2014/main" xmlns="" id="{00000000-0008-0000-0600-0000B0000000}"/>
            </a:ext>
          </a:extLst>
        </xdr:cNvPr>
        <xdr:cNvCxnSpPr/>
      </xdr:nvCxnSpPr>
      <xdr:spPr>
        <a:xfrm flipV="1">
          <a:off x="4663168" y="49848407"/>
          <a:ext cx="530678" cy="55109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145596</xdr:colOff>
      <xdr:row>520</xdr:row>
      <xdr:rowOff>28575</xdr:rowOff>
    </xdr:from>
    <xdr:to>
      <xdr:col>12</xdr:col>
      <xdr:colOff>145596</xdr:colOff>
      <xdr:row>520</xdr:row>
      <xdr:rowOff>361949</xdr:rowOff>
    </xdr:to>
    <xdr:cxnSp macro="">
      <xdr:nvCxnSpPr>
        <xdr:cNvPr id="177" name="Straight Arrow Connector 176">
          <a:extLst>
            <a:ext uri="{FF2B5EF4-FFF2-40B4-BE49-F238E27FC236}">
              <a16:creationId xmlns:a16="http://schemas.microsoft.com/office/drawing/2014/main" xmlns="" id="{00000000-0008-0000-0600-0000B1000000}"/>
            </a:ext>
          </a:extLst>
        </xdr:cNvPr>
        <xdr:cNvCxnSpPr/>
      </xdr:nvCxnSpPr>
      <xdr:spPr>
        <a:xfrm flipV="1">
          <a:off x="3955596" y="4781550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127908</xdr:colOff>
      <xdr:row>518</xdr:row>
      <xdr:rowOff>38100</xdr:rowOff>
    </xdr:from>
    <xdr:to>
      <xdr:col>12</xdr:col>
      <xdr:colOff>127908</xdr:colOff>
      <xdr:row>518</xdr:row>
      <xdr:rowOff>371474</xdr:rowOff>
    </xdr:to>
    <xdr:cxnSp macro="">
      <xdr:nvCxnSpPr>
        <xdr:cNvPr id="178" name="Straight Arrow Connector 177">
          <a:extLst>
            <a:ext uri="{FF2B5EF4-FFF2-40B4-BE49-F238E27FC236}">
              <a16:creationId xmlns:a16="http://schemas.microsoft.com/office/drawing/2014/main" xmlns="" id="{00000000-0008-0000-0600-0000B2000000}"/>
            </a:ext>
          </a:extLst>
        </xdr:cNvPr>
        <xdr:cNvCxnSpPr/>
      </xdr:nvCxnSpPr>
      <xdr:spPr>
        <a:xfrm flipV="1">
          <a:off x="3937908" y="4679632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87828</xdr:colOff>
      <xdr:row>523</xdr:row>
      <xdr:rowOff>476374</xdr:rowOff>
    </xdr:from>
    <xdr:to>
      <xdr:col>15</xdr:col>
      <xdr:colOff>394607</xdr:colOff>
      <xdr:row>523</xdr:row>
      <xdr:rowOff>721179</xdr:rowOff>
    </xdr:to>
    <xdr:cxnSp macro="">
      <xdr:nvCxnSpPr>
        <xdr:cNvPr id="179" name="Straight Arrow Connector 178">
          <a:extLst>
            <a:ext uri="{FF2B5EF4-FFF2-40B4-BE49-F238E27FC236}">
              <a16:creationId xmlns:a16="http://schemas.microsoft.com/office/drawing/2014/main" xmlns="" id="{00000000-0008-0000-0600-0000B3000000}"/>
            </a:ext>
          </a:extLst>
        </xdr:cNvPr>
        <xdr:cNvCxnSpPr/>
      </xdr:nvCxnSpPr>
      <xdr:spPr>
        <a:xfrm flipH="1" flipV="1">
          <a:off x="4602678" y="49806349"/>
          <a:ext cx="621104" cy="3525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528</xdr:row>
      <xdr:rowOff>47625</xdr:rowOff>
    </xdr:from>
    <xdr:to>
      <xdr:col>12</xdr:col>
      <xdr:colOff>133350</xdr:colOff>
      <xdr:row>529</xdr:row>
      <xdr:rowOff>0</xdr:rowOff>
    </xdr:to>
    <xdr:cxnSp macro="">
      <xdr:nvCxnSpPr>
        <xdr:cNvPr id="180" name="Straight Arrow Connector 179">
          <a:extLst>
            <a:ext uri="{FF2B5EF4-FFF2-40B4-BE49-F238E27FC236}">
              <a16:creationId xmlns:a16="http://schemas.microsoft.com/office/drawing/2014/main" xmlns="" id="{00000000-0008-0000-0600-0000B4000000}"/>
            </a:ext>
          </a:extLst>
        </xdr:cNvPr>
        <xdr:cNvCxnSpPr/>
      </xdr:nvCxnSpPr>
      <xdr:spPr>
        <a:xfrm flipV="1">
          <a:off x="3933825" y="51949350"/>
          <a:ext cx="9525" cy="4667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295275</xdr:colOff>
      <xdr:row>523</xdr:row>
      <xdr:rowOff>76200</xdr:rowOff>
    </xdr:from>
    <xdr:to>
      <xdr:col>10</xdr:col>
      <xdr:colOff>19050</xdr:colOff>
      <xdr:row>523</xdr:row>
      <xdr:rowOff>85725</xdr:rowOff>
    </xdr:to>
    <xdr:cxnSp macro="">
      <xdr:nvCxnSpPr>
        <xdr:cNvPr id="181" name="Straight Arrow Connector 180">
          <a:extLst>
            <a:ext uri="{FF2B5EF4-FFF2-40B4-BE49-F238E27FC236}">
              <a16:creationId xmlns:a16="http://schemas.microsoft.com/office/drawing/2014/main" xmlns="" id="{00000000-0008-0000-0600-0000B5000000}"/>
            </a:ext>
          </a:extLst>
        </xdr:cNvPr>
        <xdr:cNvCxnSpPr/>
      </xdr:nvCxnSpPr>
      <xdr:spPr>
        <a:xfrm flipV="1">
          <a:off x="1990725" y="49406175"/>
          <a:ext cx="1133475" cy="95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726</xdr:row>
      <xdr:rowOff>61479</xdr:rowOff>
    </xdr:from>
    <xdr:to>
      <xdr:col>12</xdr:col>
      <xdr:colOff>183573</xdr:colOff>
      <xdr:row>726</xdr:row>
      <xdr:rowOff>347229</xdr:rowOff>
    </xdr:to>
    <xdr:cxnSp macro="">
      <xdr:nvCxnSpPr>
        <xdr:cNvPr id="182" name="Straight Arrow Connector 181">
          <a:extLst>
            <a:ext uri="{FF2B5EF4-FFF2-40B4-BE49-F238E27FC236}">
              <a16:creationId xmlns:a16="http://schemas.microsoft.com/office/drawing/2014/main" xmlns="" id="{00000000-0008-0000-0600-0000B6000000}"/>
            </a:ext>
          </a:extLst>
        </xdr:cNvPr>
        <xdr:cNvCxnSpPr/>
      </xdr:nvCxnSpPr>
      <xdr:spPr>
        <a:xfrm flipV="1">
          <a:off x="3345873" y="7243329"/>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722</xdr:row>
      <xdr:rowOff>163286</xdr:rowOff>
    </xdr:from>
    <xdr:to>
      <xdr:col>12</xdr:col>
      <xdr:colOff>163285</xdr:colOff>
      <xdr:row>725</xdr:row>
      <xdr:rowOff>0</xdr:rowOff>
    </xdr:to>
    <xdr:cxnSp macro="">
      <xdr:nvCxnSpPr>
        <xdr:cNvPr id="183" name="Straight Arrow Connector 182">
          <a:extLst>
            <a:ext uri="{FF2B5EF4-FFF2-40B4-BE49-F238E27FC236}">
              <a16:creationId xmlns:a16="http://schemas.microsoft.com/office/drawing/2014/main" xmlns="" id="{00000000-0008-0000-0600-0000B7000000}"/>
            </a:ext>
          </a:extLst>
        </xdr:cNvPr>
        <xdr:cNvCxnSpPr/>
      </xdr:nvCxnSpPr>
      <xdr:spPr>
        <a:xfrm flipV="1">
          <a:off x="3314700" y="5687786"/>
          <a:ext cx="10885" cy="97971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717</xdr:row>
      <xdr:rowOff>95251</xdr:rowOff>
    </xdr:from>
    <xdr:to>
      <xdr:col>17</xdr:col>
      <xdr:colOff>149679</xdr:colOff>
      <xdr:row>721</xdr:row>
      <xdr:rowOff>0</xdr:rowOff>
    </xdr:to>
    <xdr:cxnSp macro="">
      <xdr:nvCxnSpPr>
        <xdr:cNvPr id="184" name="Straight Arrow Connector 183">
          <a:extLst>
            <a:ext uri="{FF2B5EF4-FFF2-40B4-BE49-F238E27FC236}">
              <a16:creationId xmlns:a16="http://schemas.microsoft.com/office/drawing/2014/main" xmlns="" id="{00000000-0008-0000-0600-0000B8000000}"/>
            </a:ext>
          </a:extLst>
        </xdr:cNvPr>
        <xdr:cNvCxnSpPr/>
      </xdr:nvCxnSpPr>
      <xdr:spPr>
        <a:xfrm flipV="1">
          <a:off x="5305425" y="3714751"/>
          <a:ext cx="16329" cy="14287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137803</xdr:colOff>
      <xdr:row>719</xdr:row>
      <xdr:rowOff>35379</xdr:rowOff>
    </xdr:from>
    <xdr:to>
      <xdr:col>12</xdr:col>
      <xdr:colOff>137803</xdr:colOff>
      <xdr:row>719</xdr:row>
      <xdr:rowOff>340178</xdr:rowOff>
    </xdr:to>
    <xdr:cxnSp macro="">
      <xdr:nvCxnSpPr>
        <xdr:cNvPr id="185" name="Straight Arrow Connector 184">
          <a:extLst>
            <a:ext uri="{FF2B5EF4-FFF2-40B4-BE49-F238E27FC236}">
              <a16:creationId xmlns:a16="http://schemas.microsoft.com/office/drawing/2014/main" xmlns="" id="{00000000-0008-0000-0600-0000B9000000}"/>
            </a:ext>
          </a:extLst>
        </xdr:cNvPr>
        <xdr:cNvCxnSpPr/>
      </xdr:nvCxnSpPr>
      <xdr:spPr>
        <a:xfrm flipV="1">
          <a:off x="3300103" y="4416879"/>
          <a:ext cx="0" cy="30479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141886</xdr:colOff>
      <xdr:row>717</xdr:row>
      <xdr:rowOff>28575</xdr:rowOff>
    </xdr:from>
    <xdr:to>
      <xdr:col>12</xdr:col>
      <xdr:colOff>141886</xdr:colOff>
      <xdr:row>717</xdr:row>
      <xdr:rowOff>361949</xdr:rowOff>
    </xdr:to>
    <xdr:cxnSp macro="">
      <xdr:nvCxnSpPr>
        <xdr:cNvPr id="186" name="Straight Arrow Connector 185">
          <a:extLst>
            <a:ext uri="{FF2B5EF4-FFF2-40B4-BE49-F238E27FC236}">
              <a16:creationId xmlns:a16="http://schemas.microsoft.com/office/drawing/2014/main" xmlns="" id="{00000000-0008-0000-0600-0000BA000000}"/>
            </a:ext>
          </a:extLst>
        </xdr:cNvPr>
        <xdr:cNvCxnSpPr/>
      </xdr:nvCxnSpPr>
      <xdr:spPr>
        <a:xfrm flipV="1">
          <a:off x="3304186" y="36480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714</xdr:row>
      <xdr:rowOff>378278</xdr:rowOff>
    </xdr:from>
    <xdr:to>
      <xdr:col>12</xdr:col>
      <xdr:colOff>131618</xdr:colOff>
      <xdr:row>715</xdr:row>
      <xdr:rowOff>330652</xdr:rowOff>
    </xdr:to>
    <xdr:cxnSp macro="">
      <xdr:nvCxnSpPr>
        <xdr:cNvPr id="187" name="Straight Arrow Connector 186">
          <a:extLst>
            <a:ext uri="{FF2B5EF4-FFF2-40B4-BE49-F238E27FC236}">
              <a16:creationId xmlns:a16="http://schemas.microsoft.com/office/drawing/2014/main" xmlns="" id="{00000000-0008-0000-0600-0000BB000000}"/>
            </a:ext>
          </a:extLst>
        </xdr:cNvPr>
        <xdr:cNvCxnSpPr/>
      </xdr:nvCxnSpPr>
      <xdr:spPr>
        <a:xfrm flipV="1">
          <a:off x="3293918" y="2854778"/>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714</xdr:row>
      <xdr:rowOff>112568</xdr:rowOff>
    </xdr:from>
    <xdr:to>
      <xdr:col>9</xdr:col>
      <xdr:colOff>361084</xdr:colOff>
      <xdr:row>714</xdr:row>
      <xdr:rowOff>112568</xdr:rowOff>
    </xdr:to>
    <xdr:cxnSp macro="">
      <xdr:nvCxnSpPr>
        <xdr:cNvPr id="188" name="Straight Arrow Connector 187">
          <a:extLst>
            <a:ext uri="{FF2B5EF4-FFF2-40B4-BE49-F238E27FC236}">
              <a16:creationId xmlns:a16="http://schemas.microsoft.com/office/drawing/2014/main" xmlns="" id="{00000000-0008-0000-0600-0000BC000000}"/>
            </a:ext>
          </a:extLst>
        </xdr:cNvPr>
        <xdr:cNvCxnSpPr/>
      </xdr:nvCxnSpPr>
      <xdr:spPr>
        <a:xfrm>
          <a:off x="2106757" y="2589068"/>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716</xdr:row>
      <xdr:rowOff>114300</xdr:rowOff>
    </xdr:from>
    <xdr:to>
      <xdr:col>9</xdr:col>
      <xdr:colOff>343765</xdr:colOff>
      <xdr:row>716</xdr:row>
      <xdr:rowOff>114300</xdr:rowOff>
    </xdr:to>
    <xdr:cxnSp macro="">
      <xdr:nvCxnSpPr>
        <xdr:cNvPr id="189" name="Straight Arrow Connector 188">
          <a:extLst>
            <a:ext uri="{FF2B5EF4-FFF2-40B4-BE49-F238E27FC236}">
              <a16:creationId xmlns:a16="http://schemas.microsoft.com/office/drawing/2014/main" xmlns="" id="{00000000-0008-0000-0600-0000BD000000}"/>
            </a:ext>
          </a:extLst>
        </xdr:cNvPr>
        <xdr:cNvCxnSpPr/>
      </xdr:nvCxnSpPr>
      <xdr:spPr>
        <a:xfrm>
          <a:off x="2070388" y="3352800"/>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120361</xdr:colOff>
      <xdr:row>718</xdr:row>
      <xdr:rowOff>204354</xdr:rowOff>
    </xdr:from>
    <xdr:to>
      <xdr:col>9</xdr:col>
      <xdr:colOff>39831</xdr:colOff>
      <xdr:row>718</xdr:row>
      <xdr:rowOff>204354</xdr:rowOff>
    </xdr:to>
    <xdr:cxnSp macro="">
      <xdr:nvCxnSpPr>
        <xdr:cNvPr id="190" name="Straight Arrow Connector 189">
          <a:extLst>
            <a:ext uri="{FF2B5EF4-FFF2-40B4-BE49-F238E27FC236}">
              <a16:creationId xmlns:a16="http://schemas.microsoft.com/office/drawing/2014/main" xmlns="" id="{00000000-0008-0000-0600-0000BE000000}"/>
            </a:ext>
          </a:extLst>
        </xdr:cNvPr>
        <xdr:cNvCxnSpPr/>
      </xdr:nvCxnSpPr>
      <xdr:spPr>
        <a:xfrm>
          <a:off x="1949161" y="4204854"/>
          <a:ext cx="46239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721</xdr:row>
      <xdr:rowOff>14473</xdr:rowOff>
    </xdr:from>
    <xdr:to>
      <xdr:col>9</xdr:col>
      <xdr:colOff>108858</xdr:colOff>
      <xdr:row>721</xdr:row>
      <xdr:rowOff>14473</xdr:rowOff>
    </xdr:to>
    <xdr:cxnSp macro="">
      <xdr:nvCxnSpPr>
        <xdr:cNvPr id="191" name="Straight Arrow Connector 190">
          <a:extLst>
            <a:ext uri="{FF2B5EF4-FFF2-40B4-BE49-F238E27FC236}">
              <a16:creationId xmlns:a16="http://schemas.microsoft.com/office/drawing/2014/main" xmlns="" id="{00000000-0008-0000-0600-0000BF000000}"/>
            </a:ext>
          </a:extLst>
        </xdr:cNvPr>
        <xdr:cNvCxnSpPr/>
      </xdr:nvCxnSpPr>
      <xdr:spPr>
        <a:xfrm>
          <a:off x="1937905" y="5157973"/>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75458</xdr:colOff>
      <xdr:row>723</xdr:row>
      <xdr:rowOff>204107</xdr:rowOff>
    </xdr:from>
    <xdr:to>
      <xdr:col>9</xdr:col>
      <xdr:colOff>57521</xdr:colOff>
      <xdr:row>723</xdr:row>
      <xdr:rowOff>204107</xdr:rowOff>
    </xdr:to>
    <xdr:cxnSp macro="">
      <xdr:nvCxnSpPr>
        <xdr:cNvPr id="192" name="Straight Arrow Connector 191">
          <a:extLst>
            <a:ext uri="{FF2B5EF4-FFF2-40B4-BE49-F238E27FC236}">
              <a16:creationId xmlns:a16="http://schemas.microsoft.com/office/drawing/2014/main" xmlns="" id="{00000000-0008-0000-0600-0000C0000000}"/>
            </a:ext>
          </a:extLst>
        </xdr:cNvPr>
        <xdr:cNvCxnSpPr/>
      </xdr:nvCxnSpPr>
      <xdr:spPr>
        <a:xfrm>
          <a:off x="1904258" y="6109607"/>
          <a:ext cx="52498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727</xdr:row>
      <xdr:rowOff>167986</xdr:rowOff>
    </xdr:from>
    <xdr:to>
      <xdr:col>9</xdr:col>
      <xdr:colOff>96981</xdr:colOff>
      <xdr:row>727</xdr:row>
      <xdr:rowOff>167986</xdr:rowOff>
    </xdr:to>
    <xdr:cxnSp macro="">
      <xdr:nvCxnSpPr>
        <xdr:cNvPr id="193" name="Straight Arrow Connector 192">
          <a:extLst>
            <a:ext uri="{FF2B5EF4-FFF2-40B4-BE49-F238E27FC236}">
              <a16:creationId xmlns:a16="http://schemas.microsoft.com/office/drawing/2014/main" xmlns="" id="{00000000-0008-0000-0600-0000C1000000}"/>
            </a:ext>
          </a:extLst>
        </xdr:cNvPr>
        <xdr:cNvCxnSpPr/>
      </xdr:nvCxnSpPr>
      <xdr:spPr>
        <a:xfrm>
          <a:off x="2025361" y="7730836"/>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725</xdr:row>
      <xdr:rowOff>295275</xdr:rowOff>
    </xdr:from>
    <xdr:to>
      <xdr:col>9</xdr:col>
      <xdr:colOff>71870</xdr:colOff>
      <xdr:row>725</xdr:row>
      <xdr:rowOff>295275</xdr:rowOff>
    </xdr:to>
    <xdr:cxnSp macro="">
      <xdr:nvCxnSpPr>
        <xdr:cNvPr id="194" name="Straight Arrow Connector 193">
          <a:extLst>
            <a:ext uri="{FF2B5EF4-FFF2-40B4-BE49-F238E27FC236}">
              <a16:creationId xmlns:a16="http://schemas.microsoft.com/office/drawing/2014/main" xmlns="" id="{00000000-0008-0000-0600-0000C2000000}"/>
            </a:ext>
          </a:extLst>
        </xdr:cNvPr>
        <xdr:cNvCxnSpPr/>
      </xdr:nvCxnSpPr>
      <xdr:spPr>
        <a:xfrm>
          <a:off x="1978479" y="6962775"/>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715</xdr:row>
      <xdr:rowOff>0</xdr:rowOff>
    </xdr:from>
    <xdr:to>
      <xdr:col>17</xdr:col>
      <xdr:colOff>231323</xdr:colOff>
      <xdr:row>715</xdr:row>
      <xdr:rowOff>352425</xdr:rowOff>
    </xdr:to>
    <xdr:cxnSp macro="">
      <xdr:nvCxnSpPr>
        <xdr:cNvPr id="195" name="Straight Arrow Connector 194">
          <a:extLst>
            <a:ext uri="{FF2B5EF4-FFF2-40B4-BE49-F238E27FC236}">
              <a16:creationId xmlns:a16="http://schemas.microsoft.com/office/drawing/2014/main" xmlns="" id="{00000000-0008-0000-0600-0000C3000000}"/>
            </a:ext>
          </a:extLst>
        </xdr:cNvPr>
        <xdr:cNvCxnSpPr/>
      </xdr:nvCxnSpPr>
      <xdr:spPr>
        <a:xfrm flipV="1">
          <a:off x="5400675" y="2857500"/>
          <a:ext cx="2723" cy="3524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725</xdr:row>
      <xdr:rowOff>276225</xdr:rowOff>
    </xdr:from>
    <xdr:to>
      <xdr:col>17</xdr:col>
      <xdr:colOff>209550</xdr:colOff>
      <xdr:row>725</xdr:row>
      <xdr:rowOff>285750</xdr:rowOff>
    </xdr:to>
    <xdr:cxnSp macro="">
      <xdr:nvCxnSpPr>
        <xdr:cNvPr id="196" name="Straight Connector 195">
          <a:extLst>
            <a:ext uri="{FF2B5EF4-FFF2-40B4-BE49-F238E27FC236}">
              <a16:creationId xmlns:a16="http://schemas.microsoft.com/office/drawing/2014/main" xmlns="" id="{00000000-0008-0000-0600-0000C4000000}"/>
            </a:ext>
          </a:extLst>
        </xdr:cNvPr>
        <xdr:cNvCxnSpPr/>
      </xdr:nvCxnSpPr>
      <xdr:spPr>
        <a:xfrm flipV="1">
          <a:off x="4048125" y="6943725"/>
          <a:ext cx="1333500"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724</xdr:row>
      <xdr:rowOff>66675</xdr:rowOff>
    </xdr:from>
    <xdr:to>
      <xdr:col>17</xdr:col>
      <xdr:colOff>209550</xdr:colOff>
      <xdr:row>725</xdr:row>
      <xdr:rowOff>285750</xdr:rowOff>
    </xdr:to>
    <xdr:cxnSp macro="">
      <xdr:nvCxnSpPr>
        <xdr:cNvPr id="197" name="Straight Arrow Connector 196">
          <a:extLst>
            <a:ext uri="{FF2B5EF4-FFF2-40B4-BE49-F238E27FC236}">
              <a16:creationId xmlns:a16="http://schemas.microsoft.com/office/drawing/2014/main" xmlns="" id="{00000000-0008-0000-0600-0000C5000000}"/>
            </a:ext>
          </a:extLst>
        </xdr:cNvPr>
        <xdr:cNvCxnSpPr/>
      </xdr:nvCxnSpPr>
      <xdr:spPr>
        <a:xfrm flipV="1">
          <a:off x="5372100" y="6353175"/>
          <a:ext cx="952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76200</xdr:colOff>
      <xdr:row>722</xdr:row>
      <xdr:rowOff>76200</xdr:rowOff>
    </xdr:from>
    <xdr:to>
      <xdr:col>15</xdr:col>
      <xdr:colOff>238125</xdr:colOff>
      <xdr:row>723</xdr:row>
      <xdr:rowOff>66675</xdr:rowOff>
    </xdr:to>
    <xdr:cxnSp macro="">
      <xdr:nvCxnSpPr>
        <xdr:cNvPr id="198" name="Straight Arrow Connector 197">
          <a:extLst>
            <a:ext uri="{FF2B5EF4-FFF2-40B4-BE49-F238E27FC236}">
              <a16:creationId xmlns:a16="http://schemas.microsoft.com/office/drawing/2014/main" xmlns="" id="{00000000-0008-0000-0600-0000C6000000}"/>
            </a:ext>
          </a:extLst>
        </xdr:cNvPr>
        <xdr:cNvCxnSpPr/>
      </xdr:nvCxnSpPr>
      <xdr:spPr>
        <a:xfrm flipH="1" flipV="1">
          <a:off x="4095750" y="5600700"/>
          <a:ext cx="514350" cy="3714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721</xdr:row>
      <xdr:rowOff>0</xdr:rowOff>
    </xdr:from>
    <xdr:to>
      <xdr:col>17</xdr:col>
      <xdr:colOff>161925</xdr:colOff>
      <xdr:row>721</xdr:row>
      <xdr:rowOff>0</xdr:rowOff>
    </xdr:to>
    <xdr:cxnSp macro="">
      <xdr:nvCxnSpPr>
        <xdr:cNvPr id="199" name="Straight Connector 198">
          <a:extLst>
            <a:ext uri="{FF2B5EF4-FFF2-40B4-BE49-F238E27FC236}">
              <a16:creationId xmlns:a16="http://schemas.microsoft.com/office/drawing/2014/main" xmlns="" id="{00000000-0008-0000-0600-0000C7000000}"/>
            </a:ext>
          </a:extLst>
        </xdr:cNvPr>
        <xdr:cNvCxnSpPr/>
      </xdr:nvCxnSpPr>
      <xdr:spPr>
        <a:xfrm>
          <a:off x="4019550" y="5143500"/>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728</xdr:row>
      <xdr:rowOff>0</xdr:rowOff>
    </xdr:from>
    <xdr:to>
      <xdr:col>12</xdr:col>
      <xdr:colOff>200025</xdr:colOff>
      <xdr:row>728</xdr:row>
      <xdr:rowOff>361950</xdr:rowOff>
    </xdr:to>
    <xdr:cxnSp macro="">
      <xdr:nvCxnSpPr>
        <xdr:cNvPr id="200" name="Straight Arrow Connector 199">
          <a:extLst>
            <a:ext uri="{FF2B5EF4-FFF2-40B4-BE49-F238E27FC236}">
              <a16:creationId xmlns:a16="http://schemas.microsoft.com/office/drawing/2014/main" xmlns="" id="{00000000-0008-0000-0600-0000C8000000}"/>
            </a:ext>
          </a:extLst>
        </xdr:cNvPr>
        <xdr:cNvCxnSpPr/>
      </xdr:nvCxnSpPr>
      <xdr:spPr>
        <a:xfrm flipV="1">
          <a:off x="3362325" y="794385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752</xdr:row>
      <xdr:rowOff>61479</xdr:rowOff>
    </xdr:from>
    <xdr:to>
      <xdr:col>12</xdr:col>
      <xdr:colOff>183573</xdr:colOff>
      <xdr:row>752</xdr:row>
      <xdr:rowOff>347229</xdr:rowOff>
    </xdr:to>
    <xdr:cxnSp macro="">
      <xdr:nvCxnSpPr>
        <xdr:cNvPr id="201" name="Straight Arrow Connector 200">
          <a:extLst>
            <a:ext uri="{FF2B5EF4-FFF2-40B4-BE49-F238E27FC236}">
              <a16:creationId xmlns:a16="http://schemas.microsoft.com/office/drawing/2014/main" xmlns="" id="{00000000-0008-0000-0600-0000C9000000}"/>
            </a:ext>
          </a:extLst>
        </xdr:cNvPr>
        <xdr:cNvCxnSpPr/>
      </xdr:nvCxnSpPr>
      <xdr:spPr>
        <a:xfrm flipV="1">
          <a:off x="3345873" y="17282679"/>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748</xdr:row>
      <xdr:rowOff>163286</xdr:rowOff>
    </xdr:from>
    <xdr:to>
      <xdr:col>12</xdr:col>
      <xdr:colOff>163285</xdr:colOff>
      <xdr:row>751</xdr:row>
      <xdr:rowOff>0</xdr:rowOff>
    </xdr:to>
    <xdr:cxnSp macro="">
      <xdr:nvCxnSpPr>
        <xdr:cNvPr id="202" name="Straight Arrow Connector 201">
          <a:extLst>
            <a:ext uri="{FF2B5EF4-FFF2-40B4-BE49-F238E27FC236}">
              <a16:creationId xmlns:a16="http://schemas.microsoft.com/office/drawing/2014/main" xmlns="" id="{00000000-0008-0000-0600-0000CA000000}"/>
            </a:ext>
          </a:extLst>
        </xdr:cNvPr>
        <xdr:cNvCxnSpPr/>
      </xdr:nvCxnSpPr>
      <xdr:spPr>
        <a:xfrm flipV="1">
          <a:off x="3314700" y="15727136"/>
          <a:ext cx="10885" cy="97971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741</xdr:row>
      <xdr:rowOff>95251</xdr:rowOff>
    </xdr:from>
    <xdr:to>
      <xdr:col>17</xdr:col>
      <xdr:colOff>149679</xdr:colOff>
      <xdr:row>747</xdr:row>
      <xdr:rowOff>0</xdr:rowOff>
    </xdr:to>
    <xdr:cxnSp macro="">
      <xdr:nvCxnSpPr>
        <xdr:cNvPr id="203" name="Straight Arrow Connector 202">
          <a:extLst>
            <a:ext uri="{FF2B5EF4-FFF2-40B4-BE49-F238E27FC236}">
              <a16:creationId xmlns:a16="http://schemas.microsoft.com/office/drawing/2014/main" xmlns="" id="{00000000-0008-0000-0600-0000CB000000}"/>
            </a:ext>
          </a:extLst>
        </xdr:cNvPr>
        <xdr:cNvCxnSpPr/>
      </xdr:nvCxnSpPr>
      <xdr:spPr>
        <a:xfrm flipV="1">
          <a:off x="5305425" y="12992101"/>
          <a:ext cx="16329" cy="21907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137803</xdr:colOff>
      <xdr:row>745</xdr:row>
      <xdr:rowOff>35379</xdr:rowOff>
    </xdr:from>
    <xdr:to>
      <xdr:col>12</xdr:col>
      <xdr:colOff>137803</xdr:colOff>
      <xdr:row>745</xdr:row>
      <xdr:rowOff>340178</xdr:rowOff>
    </xdr:to>
    <xdr:cxnSp macro="">
      <xdr:nvCxnSpPr>
        <xdr:cNvPr id="204" name="Straight Arrow Connector 203">
          <a:extLst>
            <a:ext uri="{FF2B5EF4-FFF2-40B4-BE49-F238E27FC236}">
              <a16:creationId xmlns:a16="http://schemas.microsoft.com/office/drawing/2014/main" xmlns="" id="{00000000-0008-0000-0600-0000CC000000}"/>
            </a:ext>
          </a:extLst>
        </xdr:cNvPr>
        <xdr:cNvCxnSpPr/>
      </xdr:nvCxnSpPr>
      <xdr:spPr>
        <a:xfrm flipV="1">
          <a:off x="3300103" y="14456229"/>
          <a:ext cx="0" cy="30479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141886</xdr:colOff>
      <xdr:row>741</xdr:row>
      <xdr:rowOff>28575</xdr:rowOff>
    </xdr:from>
    <xdr:to>
      <xdr:col>12</xdr:col>
      <xdr:colOff>141886</xdr:colOff>
      <xdr:row>741</xdr:row>
      <xdr:rowOff>361949</xdr:rowOff>
    </xdr:to>
    <xdr:cxnSp macro="">
      <xdr:nvCxnSpPr>
        <xdr:cNvPr id="205" name="Straight Arrow Connector 204">
          <a:extLst>
            <a:ext uri="{FF2B5EF4-FFF2-40B4-BE49-F238E27FC236}">
              <a16:creationId xmlns:a16="http://schemas.microsoft.com/office/drawing/2014/main" xmlns="" id="{00000000-0008-0000-0600-0000CD000000}"/>
            </a:ext>
          </a:extLst>
        </xdr:cNvPr>
        <xdr:cNvCxnSpPr/>
      </xdr:nvCxnSpPr>
      <xdr:spPr>
        <a:xfrm flipV="1">
          <a:off x="3304186" y="1292542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738</xdr:row>
      <xdr:rowOff>378278</xdr:rowOff>
    </xdr:from>
    <xdr:to>
      <xdr:col>12</xdr:col>
      <xdr:colOff>131618</xdr:colOff>
      <xdr:row>739</xdr:row>
      <xdr:rowOff>330652</xdr:rowOff>
    </xdr:to>
    <xdr:cxnSp macro="">
      <xdr:nvCxnSpPr>
        <xdr:cNvPr id="206" name="Straight Arrow Connector 205">
          <a:extLst>
            <a:ext uri="{FF2B5EF4-FFF2-40B4-BE49-F238E27FC236}">
              <a16:creationId xmlns:a16="http://schemas.microsoft.com/office/drawing/2014/main" xmlns="" id="{00000000-0008-0000-0600-0000CE000000}"/>
            </a:ext>
          </a:extLst>
        </xdr:cNvPr>
        <xdr:cNvCxnSpPr/>
      </xdr:nvCxnSpPr>
      <xdr:spPr>
        <a:xfrm flipV="1">
          <a:off x="3293918" y="12132128"/>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738</xdr:row>
      <xdr:rowOff>112568</xdr:rowOff>
    </xdr:from>
    <xdr:to>
      <xdr:col>9</xdr:col>
      <xdr:colOff>361084</xdr:colOff>
      <xdr:row>738</xdr:row>
      <xdr:rowOff>112568</xdr:rowOff>
    </xdr:to>
    <xdr:cxnSp macro="">
      <xdr:nvCxnSpPr>
        <xdr:cNvPr id="207" name="Straight Arrow Connector 206">
          <a:extLst>
            <a:ext uri="{FF2B5EF4-FFF2-40B4-BE49-F238E27FC236}">
              <a16:creationId xmlns:a16="http://schemas.microsoft.com/office/drawing/2014/main" xmlns="" id="{00000000-0008-0000-0600-0000CF000000}"/>
            </a:ext>
          </a:extLst>
        </xdr:cNvPr>
        <xdr:cNvCxnSpPr/>
      </xdr:nvCxnSpPr>
      <xdr:spPr>
        <a:xfrm>
          <a:off x="2106757" y="11866418"/>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740</xdr:row>
      <xdr:rowOff>114300</xdr:rowOff>
    </xdr:from>
    <xdr:to>
      <xdr:col>9</xdr:col>
      <xdr:colOff>343765</xdr:colOff>
      <xdr:row>740</xdr:row>
      <xdr:rowOff>114300</xdr:rowOff>
    </xdr:to>
    <xdr:cxnSp macro="">
      <xdr:nvCxnSpPr>
        <xdr:cNvPr id="208" name="Straight Arrow Connector 207">
          <a:extLst>
            <a:ext uri="{FF2B5EF4-FFF2-40B4-BE49-F238E27FC236}">
              <a16:creationId xmlns:a16="http://schemas.microsoft.com/office/drawing/2014/main" xmlns="" id="{00000000-0008-0000-0600-0000D0000000}"/>
            </a:ext>
          </a:extLst>
        </xdr:cNvPr>
        <xdr:cNvCxnSpPr/>
      </xdr:nvCxnSpPr>
      <xdr:spPr>
        <a:xfrm>
          <a:off x="2070388" y="12630150"/>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120361</xdr:colOff>
      <xdr:row>742</xdr:row>
      <xdr:rowOff>204354</xdr:rowOff>
    </xdr:from>
    <xdr:to>
      <xdr:col>9</xdr:col>
      <xdr:colOff>39831</xdr:colOff>
      <xdr:row>742</xdr:row>
      <xdr:rowOff>204354</xdr:rowOff>
    </xdr:to>
    <xdr:cxnSp macro="">
      <xdr:nvCxnSpPr>
        <xdr:cNvPr id="209" name="Straight Arrow Connector 208">
          <a:extLst>
            <a:ext uri="{FF2B5EF4-FFF2-40B4-BE49-F238E27FC236}">
              <a16:creationId xmlns:a16="http://schemas.microsoft.com/office/drawing/2014/main" xmlns="" id="{00000000-0008-0000-0600-0000D1000000}"/>
            </a:ext>
          </a:extLst>
        </xdr:cNvPr>
        <xdr:cNvCxnSpPr/>
      </xdr:nvCxnSpPr>
      <xdr:spPr>
        <a:xfrm>
          <a:off x="1949161" y="13482204"/>
          <a:ext cx="46239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747</xdr:row>
      <xdr:rowOff>14473</xdr:rowOff>
    </xdr:from>
    <xdr:to>
      <xdr:col>9</xdr:col>
      <xdr:colOff>108858</xdr:colOff>
      <xdr:row>747</xdr:row>
      <xdr:rowOff>14473</xdr:rowOff>
    </xdr:to>
    <xdr:cxnSp macro="">
      <xdr:nvCxnSpPr>
        <xdr:cNvPr id="210" name="Straight Arrow Connector 209">
          <a:extLst>
            <a:ext uri="{FF2B5EF4-FFF2-40B4-BE49-F238E27FC236}">
              <a16:creationId xmlns:a16="http://schemas.microsoft.com/office/drawing/2014/main" xmlns="" id="{00000000-0008-0000-0600-0000D2000000}"/>
            </a:ext>
          </a:extLst>
        </xdr:cNvPr>
        <xdr:cNvCxnSpPr/>
      </xdr:nvCxnSpPr>
      <xdr:spPr>
        <a:xfrm>
          <a:off x="1937905" y="15197323"/>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75458</xdr:colOff>
      <xdr:row>749</xdr:row>
      <xdr:rowOff>204107</xdr:rowOff>
    </xdr:from>
    <xdr:to>
      <xdr:col>9</xdr:col>
      <xdr:colOff>57521</xdr:colOff>
      <xdr:row>749</xdr:row>
      <xdr:rowOff>204107</xdr:rowOff>
    </xdr:to>
    <xdr:cxnSp macro="">
      <xdr:nvCxnSpPr>
        <xdr:cNvPr id="211" name="Straight Arrow Connector 210">
          <a:extLst>
            <a:ext uri="{FF2B5EF4-FFF2-40B4-BE49-F238E27FC236}">
              <a16:creationId xmlns:a16="http://schemas.microsoft.com/office/drawing/2014/main" xmlns="" id="{00000000-0008-0000-0600-0000D3000000}"/>
            </a:ext>
          </a:extLst>
        </xdr:cNvPr>
        <xdr:cNvCxnSpPr/>
      </xdr:nvCxnSpPr>
      <xdr:spPr>
        <a:xfrm>
          <a:off x="1904258" y="16148957"/>
          <a:ext cx="52498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753</xdr:row>
      <xdr:rowOff>167986</xdr:rowOff>
    </xdr:from>
    <xdr:to>
      <xdr:col>9</xdr:col>
      <xdr:colOff>96981</xdr:colOff>
      <xdr:row>753</xdr:row>
      <xdr:rowOff>167986</xdr:rowOff>
    </xdr:to>
    <xdr:cxnSp macro="">
      <xdr:nvCxnSpPr>
        <xdr:cNvPr id="212" name="Straight Arrow Connector 211">
          <a:extLst>
            <a:ext uri="{FF2B5EF4-FFF2-40B4-BE49-F238E27FC236}">
              <a16:creationId xmlns:a16="http://schemas.microsoft.com/office/drawing/2014/main" xmlns="" id="{00000000-0008-0000-0600-0000D4000000}"/>
            </a:ext>
          </a:extLst>
        </xdr:cNvPr>
        <xdr:cNvCxnSpPr/>
      </xdr:nvCxnSpPr>
      <xdr:spPr>
        <a:xfrm>
          <a:off x="2025361" y="17770186"/>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751</xdr:row>
      <xdr:rowOff>295275</xdr:rowOff>
    </xdr:from>
    <xdr:to>
      <xdr:col>9</xdr:col>
      <xdr:colOff>71870</xdr:colOff>
      <xdr:row>751</xdr:row>
      <xdr:rowOff>295275</xdr:rowOff>
    </xdr:to>
    <xdr:cxnSp macro="">
      <xdr:nvCxnSpPr>
        <xdr:cNvPr id="213" name="Straight Arrow Connector 212">
          <a:extLst>
            <a:ext uri="{FF2B5EF4-FFF2-40B4-BE49-F238E27FC236}">
              <a16:creationId xmlns:a16="http://schemas.microsoft.com/office/drawing/2014/main" xmlns="" id="{00000000-0008-0000-0600-0000D5000000}"/>
            </a:ext>
          </a:extLst>
        </xdr:cNvPr>
        <xdr:cNvCxnSpPr/>
      </xdr:nvCxnSpPr>
      <xdr:spPr>
        <a:xfrm>
          <a:off x="1978479" y="17002125"/>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739</xdr:row>
      <xdr:rowOff>0</xdr:rowOff>
    </xdr:from>
    <xdr:to>
      <xdr:col>17</xdr:col>
      <xdr:colOff>231323</xdr:colOff>
      <xdr:row>739</xdr:row>
      <xdr:rowOff>352425</xdr:rowOff>
    </xdr:to>
    <xdr:cxnSp macro="">
      <xdr:nvCxnSpPr>
        <xdr:cNvPr id="214" name="Straight Arrow Connector 213">
          <a:extLst>
            <a:ext uri="{FF2B5EF4-FFF2-40B4-BE49-F238E27FC236}">
              <a16:creationId xmlns:a16="http://schemas.microsoft.com/office/drawing/2014/main" xmlns="" id="{00000000-0008-0000-0600-0000D6000000}"/>
            </a:ext>
          </a:extLst>
        </xdr:cNvPr>
        <xdr:cNvCxnSpPr/>
      </xdr:nvCxnSpPr>
      <xdr:spPr>
        <a:xfrm flipV="1">
          <a:off x="5400675" y="12134850"/>
          <a:ext cx="2723" cy="3524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751</xdr:row>
      <xdr:rowOff>276225</xdr:rowOff>
    </xdr:from>
    <xdr:to>
      <xdr:col>17</xdr:col>
      <xdr:colOff>209550</xdr:colOff>
      <xdr:row>751</xdr:row>
      <xdr:rowOff>285750</xdr:rowOff>
    </xdr:to>
    <xdr:cxnSp macro="">
      <xdr:nvCxnSpPr>
        <xdr:cNvPr id="215" name="Straight Connector 214">
          <a:extLst>
            <a:ext uri="{FF2B5EF4-FFF2-40B4-BE49-F238E27FC236}">
              <a16:creationId xmlns:a16="http://schemas.microsoft.com/office/drawing/2014/main" xmlns="" id="{00000000-0008-0000-0600-0000D7000000}"/>
            </a:ext>
          </a:extLst>
        </xdr:cNvPr>
        <xdr:cNvCxnSpPr/>
      </xdr:nvCxnSpPr>
      <xdr:spPr>
        <a:xfrm flipV="1">
          <a:off x="4048125" y="16983075"/>
          <a:ext cx="1333500"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750</xdr:row>
      <xdr:rowOff>66675</xdr:rowOff>
    </xdr:from>
    <xdr:to>
      <xdr:col>17</xdr:col>
      <xdr:colOff>209550</xdr:colOff>
      <xdr:row>751</xdr:row>
      <xdr:rowOff>285750</xdr:rowOff>
    </xdr:to>
    <xdr:cxnSp macro="">
      <xdr:nvCxnSpPr>
        <xdr:cNvPr id="216" name="Straight Arrow Connector 215">
          <a:extLst>
            <a:ext uri="{FF2B5EF4-FFF2-40B4-BE49-F238E27FC236}">
              <a16:creationId xmlns:a16="http://schemas.microsoft.com/office/drawing/2014/main" xmlns="" id="{00000000-0008-0000-0600-0000D8000000}"/>
            </a:ext>
          </a:extLst>
        </xdr:cNvPr>
        <xdr:cNvCxnSpPr/>
      </xdr:nvCxnSpPr>
      <xdr:spPr>
        <a:xfrm flipV="1">
          <a:off x="5372100" y="16392525"/>
          <a:ext cx="952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76200</xdr:colOff>
      <xdr:row>748</xdr:row>
      <xdr:rowOff>76200</xdr:rowOff>
    </xdr:from>
    <xdr:to>
      <xdr:col>15</xdr:col>
      <xdr:colOff>238125</xdr:colOff>
      <xdr:row>749</xdr:row>
      <xdr:rowOff>66675</xdr:rowOff>
    </xdr:to>
    <xdr:cxnSp macro="">
      <xdr:nvCxnSpPr>
        <xdr:cNvPr id="217" name="Straight Arrow Connector 216">
          <a:extLst>
            <a:ext uri="{FF2B5EF4-FFF2-40B4-BE49-F238E27FC236}">
              <a16:creationId xmlns:a16="http://schemas.microsoft.com/office/drawing/2014/main" xmlns="" id="{00000000-0008-0000-0600-0000D9000000}"/>
            </a:ext>
          </a:extLst>
        </xdr:cNvPr>
        <xdr:cNvCxnSpPr/>
      </xdr:nvCxnSpPr>
      <xdr:spPr>
        <a:xfrm flipH="1" flipV="1">
          <a:off x="4095750" y="15640050"/>
          <a:ext cx="514350" cy="3714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747</xdr:row>
      <xdr:rowOff>0</xdr:rowOff>
    </xdr:from>
    <xdr:to>
      <xdr:col>17</xdr:col>
      <xdr:colOff>161925</xdr:colOff>
      <xdr:row>747</xdr:row>
      <xdr:rowOff>0</xdr:rowOff>
    </xdr:to>
    <xdr:cxnSp macro="">
      <xdr:nvCxnSpPr>
        <xdr:cNvPr id="218" name="Straight Connector 217">
          <a:extLst>
            <a:ext uri="{FF2B5EF4-FFF2-40B4-BE49-F238E27FC236}">
              <a16:creationId xmlns:a16="http://schemas.microsoft.com/office/drawing/2014/main" xmlns="" id="{00000000-0008-0000-0600-0000DA000000}"/>
            </a:ext>
          </a:extLst>
        </xdr:cNvPr>
        <xdr:cNvCxnSpPr/>
      </xdr:nvCxnSpPr>
      <xdr:spPr>
        <a:xfrm>
          <a:off x="4019550" y="15182850"/>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754</xdr:row>
      <xdr:rowOff>0</xdr:rowOff>
    </xdr:from>
    <xdr:to>
      <xdr:col>12</xdr:col>
      <xdr:colOff>200025</xdr:colOff>
      <xdr:row>754</xdr:row>
      <xdr:rowOff>361950</xdr:rowOff>
    </xdr:to>
    <xdr:cxnSp macro="">
      <xdr:nvCxnSpPr>
        <xdr:cNvPr id="219" name="Straight Arrow Connector 218">
          <a:extLst>
            <a:ext uri="{FF2B5EF4-FFF2-40B4-BE49-F238E27FC236}">
              <a16:creationId xmlns:a16="http://schemas.microsoft.com/office/drawing/2014/main" xmlns="" id="{00000000-0008-0000-0600-0000DB000000}"/>
            </a:ext>
          </a:extLst>
        </xdr:cNvPr>
        <xdr:cNvCxnSpPr/>
      </xdr:nvCxnSpPr>
      <xdr:spPr>
        <a:xfrm flipV="1">
          <a:off x="3362325" y="17983200"/>
          <a:ext cx="0" cy="2857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123825</xdr:colOff>
      <xdr:row>743</xdr:row>
      <xdr:rowOff>28575</xdr:rowOff>
    </xdr:from>
    <xdr:to>
      <xdr:col>12</xdr:col>
      <xdr:colOff>133350</xdr:colOff>
      <xdr:row>743</xdr:row>
      <xdr:rowOff>323850</xdr:rowOff>
    </xdr:to>
    <xdr:cxnSp macro="">
      <xdr:nvCxnSpPr>
        <xdr:cNvPr id="220" name="Straight Arrow Connector 219">
          <a:extLst>
            <a:ext uri="{FF2B5EF4-FFF2-40B4-BE49-F238E27FC236}">
              <a16:creationId xmlns:a16="http://schemas.microsoft.com/office/drawing/2014/main" xmlns="" id="{00000000-0008-0000-0600-0000DC000000}"/>
            </a:ext>
          </a:extLst>
        </xdr:cNvPr>
        <xdr:cNvCxnSpPr/>
      </xdr:nvCxnSpPr>
      <xdr:spPr>
        <a:xfrm flipV="1">
          <a:off x="3286125" y="13687425"/>
          <a:ext cx="9525" cy="2952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776</xdr:row>
      <xdr:rowOff>61479</xdr:rowOff>
    </xdr:from>
    <xdr:to>
      <xdr:col>12</xdr:col>
      <xdr:colOff>183573</xdr:colOff>
      <xdr:row>776</xdr:row>
      <xdr:rowOff>347229</xdr:rowOff>
    </xdr:to>
    <xdr:cxnSp macro="">
      <xdr:nvCxnSpPr>
        <xdr:cNvPr id="221" name="Straight Arrow Connector 220">
          <a:extLst>
            <a:ext uri="{FF2B5EF4-FFF2-40B4-BE49-F238E27FC236}">
              <a16:creationId xmlns:a16="http://schemas.microsoft.com/office/drawing/2014/main" xmlns="" id="{00000000-0008-0000-0600-0000DD000000}"/>
            </a:ext>
          </a:extLst>
        </xdr:cNvPr>
        <xdr:cNvCxnSpPr/>
      </xdr:nvCxnSpPr>
      <xdr:spPr>
        <a:xfrm flipV="1">
          <a:off x="3345873" y="25855179"/>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772</xdr:row>
      <xdr:rowOff>163286</xdr:rowOff>
    </xdr:from>
    <xdr:to>
      <xdr:col>12</xdr:col>
      <xdr:colOff>163285</xdr:colOff>
      <xdr:row>775</xdr:row>
      <xdr:rowOff>0</xdr:rowOff>
    </xdr:to>
    <xdr:cxnSp macro="">
      <xdr:nvCxnSpPr>
        <xdr:cNvPr id="222" name="Straight Arrow Connector 221">
          <a:extLst>
            <a:ext uri="{FF2B5EF4-FFF2-40B4-BE49-F238E27FC236}">
              <a16:creationId xmlns:a16="http://schemas.microsoft.com/office/drawing/2014/main" xmlns="" id="{00000000-0008-0000-0600-0000DE000000}"/>
            </a:ext>
          </a:extLst>
        </xdr:cNvPr>
        <xdr:cNvCxnSpPr/>
      </xdr:nvCxnSpPr>
      <xdr:spPr>
        <a:xfrm flipV="1">
          <a:off x="3314700" y="24280586"/>
          <a:ext cx="10885" cy="99876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767</xdr:row>
      <xdr:rowOff>95251</xdr:rowOff>
    </xdr:from>
    <xdr:to>
      <xdr:col>17</xdr:col>
      <xdr:colOff>149679</xdr:colOff>
      <xdr:row>771</xdr:row>
      <xdr:rowOff>0</xdr:rowOff>
    </xdr:to>
    <xdr:cxnSp macro="">
      <xdr:nvCxnSpPr>
        <xdr:cNvPr id="223" name="Straight Arrow Connector 222">
          <a:extLst>
            <a:ext uri="{FF2B5EF4-FFF2-40B4-BE49-F238E27FC236}">
              <a16:creationId xmlns:a16="http://schemas.microsoft.com/office/drawing/2014/main" xmlns="" id="{00000000-0008-0000-0600-0000DF000000}"/>
            </a:ext>
          </a:extLst>
        </xdr:cNvPr>
        <xdr:cNvCxnSpPr/>
      </xdr:nvCxnSpPr>
      <xdr:spPr>
        <a:xfrm flipV="1">
          <a:off x="5305425" y="22298026"/>
          <a:ext cx="16329" cy="14382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769</xdr:row>
      <xdr:rowOff>6804</xdr:rowOff>
    </xdr:from>
    <xdr:to>
      <xdr:col>9</xdr:col>
      <xdr:colOff>13978</xdr:colOff>
      <xdr:row>770</xdr:row>
      <xdr:rowOff>161925</xdr:rowOff>
    </xdr:to>
    <xdr:cxnSp macro="">
      <xdr:nvCxnSpPr>
        <xdr:cNvPr id="224" name="Straight Arrow Connector 223">
          <a:extLst>
            <a:ext uri="{FF2B5EF4-FFF2-40B4-BE49-F238E27FC236}">
              <a16:creationId xmlns:a16="http://schemas.microsoft.com/office/drawing/2014/main" xmlns="" id="{00000000-0008-0000-0600-0000E0000000}"/>
            </a:ext>
          </a:extLst>
        </xdr:cNvPr>
        <xdr:cNvCxnSpPr/>
      </xdr:nvCxnSpPr>
      <xdr:spPr>
        <a:xfrm flipV="1">
          <a:off x="2371725" y="23047779"/>
          <a:ext cx="13978" cy="46944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767</xdr:row>
      <xdr:rowOff>28575</xdr:rowOff>
    </xdr:from>
    <xdr:to>
      <xdr:col>12</xdr:col>
      <xdr:colOff>141886</xdr:colOff>
      <xdr:row>767</xdr:row>
      <xdr:rowOff>276225</xdr:rowOff>
    </xdr:to>
    <xdr:cxnSp macro="">
      <xdr:nvCxnSpPr>
        <xdr:cNvPr id="225" name="Straight Arrow Connector 224">
          <a:extLst>
            <a:ext uri="{FF2B5EF4-FFF2-40B4-BE49-F238E27FC236}">
              <a16:creationId xmlns:a16="http://schemas.microsoft.com/office/drawing/2014/main" xmlns="" id="{00000000-0008-0000-0600-0000E1000000}"/>
            </a:ext>
          </a:extLst>
        </xdr:cNvPr>
        <xdr:cNvCxnSpPr/>
      </xdr:nvCxnSpPr>
      <xdr:spPr>
        <a:xfrm flipV="1">
          <a:off x="2819400" y="22231350"/>
          <a:ext cx="484786" cy="2476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764</xdr:row>
      <xdr:rowOff>378278</xdr:rowOff>
    </xdr:from>
    <xdr:to>
      <xdr:col>12</xdr:col>
      <xdr:colOff>131618</xdr:colOff>
      <xdr:row>765</xdr:row>
      <xdr:rowOff>330652</xdr:rowOff>
    </xdr:to>
    <xdr:cxnSp macro="">
      <xdr:nvCxnSpPr>
        <xdr:cNvPr id="226" name="Straight Arrow Connector 225">
          <a:extLst>
            <a:ext uri="{FF2B5EF4-FFF2-40B4-BE49-F238E27FC236}">
              <a16:creationId xmlns:a16="http://schemas.microsoft.com/office/drawing/2014/main" xmlns="" id="{00000000-0008-0000-0600-0000E2000000}"/>
            </a:ext>
          </a:extLst>
        </xdr:cNvPr>
        <xdr:cNvCxnSpPr/>
      </xdr:nvCxnSpPr>
      <xdr:spPr>
        <a:xfrm flipV="1">
          <a:off x="3293918" y="21495203"/>
          <a:ext cx="0" cy="3238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764</xdr:row>
      <xdr:rowOff>112568</xdr:rowOff>
    </xdr:from>
    <xdr:to>
      <xdr:col>9</xdr:col>
      <xdr:colOff>361084</xdr:colOff>
      <xdr:row>764</xdr:row>
      <xdr:rowOff>112568</xdr:rowOff>
    </xdr:to>
    <xdr:cxnSp macro="">
      <xdr:nvCxnSpPr>
        <xdr:cNvPr id="227" name="Straight Arrow Connector 226">
          <a:extLst>
            <a:ext uri="{FF2B5EF4-FFF2-40B4-BE49-F238E27FC236}">
              <a16:creationId xmlns:a16="http://schemas.microsoft.com/office/drawing/2014/main" xmlns="" id="{00000000-0008-0000-0600-0000E3000000}"/>
            </a:ext>
          </a:extLst>
        </xdr:cNvPr>
        <xdr:cNvCxnSpPr/>
      </xdr:nvCxnSpPr>
      <xdr:spPr>
        <a:xfrm>
          <a:off x="2106757" y="21229493"/>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766</xdr:row>
      <xdr:rowOff>114300</xdr:rowOff>
    </xdr:from>
    <xdr:to>
      <xdr:col>9</xdr:col>
      <xdr:colOff>343765</xdr:colOff>
      <xdr:row>766</xdr:row>
      <xdr:rowOff>114300</xdr:rowOff>
    </xdr:to>
    <xdr:cxnSp macro="">
      <xdr:nvCxnSpPr>
        <xdr:cNvPr id="228" name="Straight Arrow Connector 227">
          <a:extLst>
            <a:ext uri="{FF2B5EF4-FFF2-40B4-BE49-F238E27FC236}">
              <a16:creationId xmlns:a16="http://schemas.microsoft.com/office/drawing/2014/main" xmlns="" id="{00000000-0008-0000-0600-0000E4000000}"/>
            </a:ext>
          </a:extLst>
        </xdr:cNvPr>
        <xdr:cNvCxnSpPr/>
      </xdr:nvCxnSpPr>
      <xdr:spPr>
        <a:xfrm>
          <a:off x="2070388" y="21936075"/>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15586</xdr:colOff>
      <xdr:row>768</xdr:row>
      <xdr:rowOff>204354</xdr:rowOff>
    </xdr:from>
    <xdr:to>
      <xdr:col>7</xdr:col>
      <xdr:colOff>142875</xdr:colOff>
      <xdr:row>768</xdr:row>
      <xdr:rowOff>209550</xdr:rowOff>
    </xdr:to>
    <xdr:cxnSp macro="">
      <xdr:nvCxnSpPr>
        <xdr:cNvPr id="229" name="Straight Arrow Connector 228">
          <a:extLst>
            <a:ext uri="{FF2B5EF4-FFF2-40B4-BE49-F238E27FC236}">
              <a16:creationId xmlns:a16="http://schemas.microsoft.com/office/drawing/2014/main" xmlns="" id="{00000000-0008-0000-0600-0000E5000000}"/>
            </a:ext>
          </a:extLst>
        </xdr:cNvPr>
        <xdr:cNvCxnSpPr/>
      </xdr:nvCxnSpPr>
      <xdr:spPr>
        <a:xfrm>
          <a:off x="1844386" y="22711929"/>
          <a:ext cx="308264" cy="519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771</xdr:row>
      <xdr:rowOff>14473</xdr:rowOff>
    </xdr:from>
    <xdr:to>
      <xdr:col>9</xdr:col>
      <xdr:colOff>108858</xdr:colOff>
      <xdr:row>771</xdr:row>
      <xdr:rowOff>14473</xdr:rowOff>
    </xdr:to>
    <xdr:cxnSp macro="">
      <xdr:nvCxnSpPr>
        <xdr:cNvPr id="230" name="Straight Arrow Connector 229">
          <a:extLst>
            <a:ext uri="{FF2B5EF4-FFF2-40B4-BE49-F238E27FC236}">
              <a16:creationId xmlns:a16="http://schemas.microsoft.com/office/drawing/2014/main" xmlns="" id="{00000000-0008-0000-0600-0000E6000000}"/>
            </a:ext>
          </a:extLst>
        </xdr:cNvPr>
        <xdr:cNvCxnSpPr/>
      </xdr:nvCxnSpPr>
      <xdr:spPr>
        <a:xfrm>
          <a:off x="1937905" y="23750773"/>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75458</xdr:colOff>
      <xdr:row>773</xdr:row>
      <xdr:rowOff>204107</xdr:rowOff>
    </xdr:from>
    <xdr:to>
      <xdr:col>9</xdr:col>
      <xdr:colOff>57521</xdr:colOff>
      <xdr:row>773</xdr:row>
      <xdr:rowOff>204107</xdr:rowOff>
    </xdr:to>
    <xdr:cxnSp macro="">
      <xdr:nvCxnSpPr>
        <xdr:cNvPr id="231" name="Straight Arrow Connector 230">
          <a:extLst>
            <a:ext uri="{FF2B5EF4-FFF2-40B4-BE49-F238E27FC236}">
              <a16:creationId xmlns:a16="http://schemas.microsoft.com/office/drawing/2014/main" xmlns="" id="{00000000-0008-0000-0600-0000E7000000}"/>
            </a:ext>
          </a:extLst>
        </xdr:cNvPr>
        <xdr:cNvCxnSpPr/>
      </xdr:nvCxnSpPr>
      <xdr:spPr>
        <a:xfrm>
          <a:off x="1904258" y="24635732"/>
          <a:ext cx="52498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777</xdr:row>
      <xdr:rowOff>167986</xdr:rowOff>
    </xdr:from>
    <xdr:to>
      <xdr:col>9</xdr:col>
      <xdr:colOff>96981</xdr:colOff>
      <xdr:row>777</xdr:row>
      <xdr:rowOff>167986</xdr:rowOff>
    </xdr:to>
    <xdr:cxnSp macro="">
      <xdr:nvCxnSpPr>
        <xdr:cNvPr id="232" name="Straight Arrow Connector 231">
          <a:extLst>
            <a:ext uri="{FF2B5EF4-FFF2-40B4-BE49-F238E27FC236}">
              <a16:creationId xmlns:a16="http://schemas.microsoft.com/office/drawing/2014/main" xmlns="" id="{00000000-0008-0000-0600-0000E8000000}"/>
            </a:ext>
          </a:extLst>
        </xdr:cNvPr>
        <xdr:cNvCxnSpPr/>
      </xdr:nvCxnSpPr>
      <xdr:spPr>
        <a:xfrm>
          <a:off x="2025361" y="26342686"/>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775</xdr:row>
      <xdr:rowOff>295275</xdr:rowOff>
    </xdr:from>
    <xdr:to>
      <xdr:col>9</xdr:col>
      <xdr:colOff>71870</xdr:colOff>
      <xdr:row>775</xdr:row>
      <xdr:rowOff>295275</xdr:rowOff>
    </xdr:to>
    <xdr:cxnSp macro="">
      <xdr:nvCxnSpPr>
        <xdr:cNvPr id="233" name="Straight Arrow Connector 232">
          <a:extLst>
            <a:ext uri="{FF2B5EF4-FFF2-40B4-BE49-F238E27FC236}">
              <a16:creationId xmlns:a16="http://schemas.microsoft.com/office/drawing/2014/main" xmlns="" id="{00000000-0008-0000-0600-0000E9000000}"/>
            </a:ext>
          </a:extLst>
        </xdr:cNvPr>
        <xdr:cNvCxnSpPr/>
      </xdr:nvCxnSpPr>
      <xdr:spPr>
        <a:xfrm>
          <a:off x="1978479" y="25574625"/>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765</xdr:row>
      <xdr:rowOff>0</xdr:rowOff>
    </xdr:from>
    <xdr:to>
      <xdr:col>17</xdr:col>
      <xdr:colOff>231323</xdr:colOff>
      <xdr:row>765</xdr:row>
      <xdr:rowOff>352425</xdr:rowOff>
    </xdr:to>
    <xdr:cxnSp macro="">
      <xdr:nvCxnSpPr>
        <xdr:cNvPr id="234" name="Straight Arrow Connector 233">
          <a:extLst>
            <a:ext uri="{FF2B5EF4-FFF2-40B4-BE49-F238E27FC236}">
              <a16:creationId xmlns:a16="http://schemas.microsoft.com/office/drawing/2014/main" xmlns="" id="{00000000-0008-0000-0600-0000EA000000}"/>
            </a:ext>
          </a:extLst>
        </xdr:cNvPr>
        <xdr:cNvCxnSpPr/>
      </xdr:nvCxnSpPr>
      <xdr:spPr>
        <a:xfrm flipV="1">
          <a:off x="5400675" y="21497925"/>
          <a:ext cx="2723" cy="3238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775</xdr:row>
      <xdr:rowOff>276225</xdr:rowOff>
    </xdr:from>
    <xdr:to>
      <xdr:col>17</xdr:col>
      <xdr:colOff>209550</xdr:colOff>
      <xdr:row>775</xdr:row>
      <xdr:rowOff>285750</xdr:rowOff>
    </xdr:to>
    <xdr:cxnSp macro="">
      <xdr:nvCxnSpPr>
        <xdr:cNvPr id="235" name="Straight Connector 234">
          <a:extLst>
            <a:ext uri="{FF2B5EF4-FFF2-40B4-BE49-F238E27FC236}">
              <a16:creationId xmlns:a16="http://schemas.microsoft.com/office/drawing/2014/main" xmlns="" id="{00000000-0008-0000-0600-0000EB000000}"/>
            </a:ext>
          </a:extLst>
        </xdr:cNvPr>
        <xdr:cNvCxnSpPr/>
      </xdr:nvCxnSpPr>
      <xdr:spPr>
        <a:xfrm flipV="1">
          <a:off x="4048125" y="25555575"/>
          <a:ext cx="1333500"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774</xdr:row>
      <xdr:rowOff>66675</xdr:rowOff>
    </xdr:from>
    <xdr:to>
      <xdr:col>17</xdr:col>
      <xdr:colOff>209550</xdr:colOff>
      <xdr:row>775</xdr:row>
      <xdr:rowOff>285750</xdr:rowOff>
    </xdr:to>
    <xdr:cxnSp macro="">
      <xdr:nvCxnSpPr>
        <xdr:cNvPr id="236" name="Straight Arrow Connector 235">
          <a:extLst>
            <a:ext uri="{FF2B5EF4-FFF2-40B4-BE49-F238E27FC236}">
              <a16:creationId xmlns:a16="http://schemas.microsoft.com/office/drawing/2014/main" xmlns="" id="{00000000-0008-0000-0600-0000EC000000}"/>
            </a:ext>
          </a:extLst>
        </xdr:cNvPr>
        <xdr:cNvCxnSpPr/>
      </xdr:nvCxnSpPr>
      <xdr:spPr>
        <a:xfrm flipV="1">
          <a:off x="5372100" y="24965025"/>
          <a:ext cx="952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76200</xdr:colOff>
      <xdr:row>772</xdr:row>
      <xdr:rowOff>76200</xdr:rowOff>
    </xdr:from>
    <xdr:to>
      <xdr:col>15</xdr:col>
      <xdr:colOff>238125</xdr:colOff>
      <xdr:row>773</xdr:row>
      <xdr:rowOff>66675</xdr:rowOff>
    </xdr:to>
    <xdr:cxnSp macro="">
      <xdr:nvCxnSpPr>
        <xdr:cNvPr id="237" name="Straight Arrow Connector 236">
          <a:extLst>
            <a:ext uri="{FF2B5EF4-FFF2-40B4-BE49-F238E27FC236}">
              <a16:creationId xmlns:a16="http://schemas.microsoft.com/office/drawing/2014/main" xmlns="" id="{00000000-0008-0000-0600-0000ED000000}"/>
            </a:ext>
          </a:extLst>
        </xdr:cNvPr>
        <xdr:cNvCxnSpPr/>
      </xdr:nvCxnSpPr>
      <xdr:spPr>
        <a:xfrm flipH="1" flipV="1">
          <a:off x="4095750" y="24193500"/>
          <a:ext cx="514350" cy="3048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771</xdr:row>
      <xdr:rowOff>0</xdr:rowOff>
    </xdr:from>
    <xdr:to>
      <xdr:col>17</xdr:col>
      <xdr:colOff>161925</xdr:colOff>
      <xdr:row>771</xdr:row>
      <xdr:rowOff>0</xdr:rowOff>
    </xdr:to>
    <xdr:cxnSp macro="">
      <xdr:nvCxnSpPr>
        <xdr:cNvPr id="238" name="Straight Connector 237">
          <a:extLst>
            <a:ext uri="{FF2B5EF4-FFF2-40B4-BE49-F238E27FC236}">
              <a16:creationId xmlns:a16="http://schemas.microsoft.com/office/drawing/2014/main" xmlns="" id="{00000000-0008-0000-0600-0000EE000000}"/>
            </a:ext>
          </a:extLst>
        </xdr:cNvPr>
        <xdr:cNvCxnSpPr/>
      </xdr:nvCxnSpPr>
      <xdr:spPr>
        <a:xfrm>
          <a:off x="4019550" y="23736300"/>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778</xdr:row>
      <xdr:rowOff>0</xdr:rowOff>
    </xdr:from>
    <xdr:to>
      <xdr:col>12</xdr:col>
      <xdr:colOff>200025</xdr:colOff>
      <xdr:row>778</xdr:row>
      <xdr:rowOff>361950</xdr:rowOff>
    </xdr:to>
    <xdr:cxnSp macro="">
      <xdr:nvCxnSpPr>
        <xdr:cNvPr id="239" name="Straight Arrow Connector 238">
          <a:extLst>
            <a:ext uri="{FF2B5EF4-FFF2-40B4-BE49-F238E27FC236}">
              <a16:creationId xmlns:a16="http://schemas.microsoft.com/office/drawing/2014/main" xmlns="" id="{00000000-0008-0000-0600-0000EF000000}"/>
            </a:ext>
          </a:extLst>
        </xdr:cNvPr>
        <xdr:cNvCxnSpPr/>
      </xdr:nvCxnSpPr>
      <xdr:spPr>
        <a:xfrm flipV="1">
          <a:off x="3362325" y="2655570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800</xdr:row>
      <xdr:rowOff>61479</xdr:rowOff>
    </xdr:from>
    <xdr:to>
      <xdr:col>12</xdr:col>
      <xdr:colOff>183573</xdr:colOff>
      <xdr:row>800</xdr:row>
      <xdr:rowOff>347229</xdr:rowOff>
    </xdr:to>
    <xdr:cxnSp macro="">
      <xdr:nvCxnSpPr>
        <xdr:cNvPr id="240" name="Straight Arrow Connector 239">
          <a:extLst>
            <a:ext uri="{FF2B5EF4-FFF2-40B4-BE49-F238E27FC236}">
              <a16:creationId xmlns:a16="http://schemas.microsoft.com/office/drawing/2014/main" xmlns="" id="{00000000-0008-0000-0600-0000F0000000}"/>
            </a:ext>
          </a:extLst>
        </xdr:cNvPr>
        <xdr:cNvCxnSpPr/>
      </xdr:nvCxnSpPr>
      <xdr:spPr>
        <a:xfrm flipV="1">
          <a:off x="3345873" y="34751529"/>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796</xdr:row>
      <xdr:rowOff>163286</xdr:rowOff>
    </xdr:from>
    <xdr:to>
      <xdr:col>12</xdr:col>
      <xdr:colOff>163285</xdr:colOff>
      <xdr:row>799</xdr:row>
      <xdr:rowOff>0</xdr:rowOff>
    </xdr:to>
    <xdr:cxnSp macro="">
      <xdr:nvCxnSpPr>
        <xdr:cNvPr id="241" name="Straight Arrow Connector 240">
          <a:extLst>
            <a:ext uri="{FF2B5EF4-FFF2-40B4-BE49-F238E27FC236}">
              <a16:creationId xmlns:a16="http://schemas.microsoft.com/office/drawing/2014/main" xmlns="" id="{00000000-0008-0000-0600-0000F1000000}"/>
            </a:ext>
          </a:extLst>
        </xdr:cNvPr>
        <xdr:cNvCxnSpPr/>
      </xdr:nvCxnSpPr>
      <xdr:spPr>
        <a:xfrm flipV="1">
          <a:off x="3314700" y="33195986"/>
          <a:ext cx="10885" cy="97971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133350</xdr:colOff>
      <xdr:row>791</xdr:row>
      <xdr:rowOff>95251</xdr:rowOff>
    </xdr:from>
    <xdr:to>
      <xdr:col>17</xdr:col>
      <xdr:colOff>149679</xdr:colOff>
      <xdr:row>795</xdr:row>
      <xdr:rowOff>0</xdr:rowOff>
    </xdr:to>
    <xdr:cxnSp macro="">
      <xdr:nvCxnSpPr>
        <xdr:cNvPr id="242" name="Straight Arrow Connector 241">
          <a:extLst>
            <a:ext uri="{FF2B5EF4-FFF2-40B4-BE49-F238E27FC236}">
              <a16:creationId xmlns:a16="http://schemas.microsoft.com/office/drawing/2014/main" xmlns="" id="{00000000-0008-0000-0600-0000F2000000}"/>
            </a:ext>
          </a:extLst>
        </xdr:cNvPr>
        <xdr:cNvCxnSpPr/>
      </xdr:nvCxnSpPr>
      <xdr:spPr>
        <a:xfrm flipV="1">
          <a:off x="5305425" y="31222951"/>
          <a:ext cx="16329" cy="14287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xdr:colOff>
      <xdr:row>793</xdr:row>
      <xdr:rowOff>9525</xdr:rowOff>
    </xdr:from>
    <xdr:to>
      <xdr:col>9</xdr:col>
      <xdr:colOff>85725</xdr:colOff>
      <xdr:row>794</xdr:row>
      <xdr:rowOff>104775</xdr:rowOff>
    </xdr:to>
    <xdr:cxnSp macro="">
      <xdr:nvCxnSpPr>
        <xdr:cNvPr id="243" name="Straight Arrow Connector 242">
          <a:extLst>
            <a:ext uri="{FF2B5EF4-FFF2-40B4-BE49-F238E27FC236}">
              <a16:creationId xmlns:a16="http://schemas.microsoft.com/office/drawing/2014/main" xmlns="" id="{00000000-0008-0000-0600-0000F3000000}"/>
            </a:ext>
          </a:extLst>
        </xdr:cNvPr>
        <xdr:cNvCxnSpPr/>
      </xdr:nvCxnSpPr>
      <xdr:spPr>
        <a:xfrm flipV="1">
          <a:off x="2447925" y="31899225"/>
          <a:ext cx="9525" cy="4762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141886</xdr:colOff>
      <xdr:row>791</xdr:row>
      <xdr:rowOff>28575</xdr:rowOff>
    </xdr:from>
    <xdr:to>
      <xdr:col>12</xdr:col>
      <xdr:colOff>141886</xdr:colOff>
      <xdr:row>791</xdr:row>
      <xdr:rowOff>361949</xdr:rowOff>
    </xdr:to>
    <xdr:cxnSp macro="">
      <xdr:nvCxnSpPr>
        <xdr:cNvPr id="244" name="Straight Arrow Connector 243">
          <a:extLst>
            <a:ext uri="{FF2B5EF4-FFF2-40B4-BE49-F238E27FC236}">
              <a16:creationId xmlns:a16="http://schemas.microsoft.com/office/drawing/2014/main" xmlns="" id="{00000000-0008-0000-0600-0000F4000000}"/>
            </a:ext>
          </a:extLst>
        </xdr:cNvPr>
        <xdr:cNvCxnSpPr/>
      </xdr:nvCxnSpPr>
      <xdr:spPr>
        <a:xfrm flipV="1">
          <a:off x="3304186" y="311562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788</xdr:row>
      <xdr:rowOff>378278</xdr:rowOff>
    </xdr:from>
    <xdr:to>
      <xdr:col>12</xdr:col>
      <xdr:colOff>131618</xdr:colOff>
      <xdr:row>789</xdr:row>
      <xdr:rowOff>330652</xdr:rowOff>
    </xdr:to>
    <xdr:cxnSp macro="">
      <xdr:nvCxnSpPr>
        <xdr:cNvPr id="245" name="Straight Arrow Connector 244">
          <a:extLst>
            <a:ext uri="{FF2B5EF4-FFF2-40B4-BE49-F238E27FC236}">
              <a16:creationId xmlns:a16="http://schemas.microsoft.com/office/drawing/2014/main" xmlns="" id="{00000000-0008-0000-0600-0000F5000000}"/>
            </a:ext>
          </a:extLst>
        </xdr:cNvPr>
        <xdr:cNvCxnSpPr/>
      </xdr:nvCxnSpPr>
      <xdr:spPr>
        <a:xfrm flipV="1">
          <a:off x="3293918" y="30362978"/>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788</xdr:row>
      <xdr:rowOff>112568</xdr:rowOff>
    </xdr:from>
    <xdr:to>
      <xdr:col>9</xdr:col>
      <xdr:colOff>361084</xdr:colOff>
      <xdr:row>788</xdr:row>
      <xdr:rowOff>112568</xdr:rowOff>
    </xdr:to>
    <xdr:cxnSp macro="">
      <xdr:nvCxnSpPr>
        <xdr:cNvPr id="246" name="Straight Arrow Connector 245">
          <a:extLst>
            <a:ext uri="{FF2B5EF4-FFF2-40B4-BE49-F238E27FC236}">
              <a16:creationId xmlns:a16="http://schemas.microsoft.com/office/drawing/2014/main" xmlns="" id="{00000000-0008-0000-0600-0000F6000000}"/>
            </a:ext>
          </a:extLst>
        </xdr:cNvPr>
        <xdr:cNvCxnSpPr/>
      </xdr:nvCxnSpPr>
      <xdr:spPr>
        <a:xfrm>
          <a:off x="2106757" y="30097268"/>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790</xdr:row>
      <xdr:rowOff>114300</xdr:rowOff>
    </xdr:from>
    <xdr:to>
      <xdr:col>9</xdr:col>
      <xdr:colOff>343765</xdr:colOff>
      <xdr:row>790</xdr:row>
      <xdr:rowOff>114300</xdr:rowOff>
    </xdr:to>
    <xdr:cxnSp macro="">
      <xdr:nvCxnSpPr>
        <xdr:cNvPr id="247" name="Straight Arrow Connector 246">
          <a:extLst>
            <a:ext uri="{FF2B5EF4-FFF2-40B4-BE49-F238E27FC236}">
              <a16:creationId xmlns:a16="http://schemas.microsoft.com/office/drawing/2014/main" xmlns="" id="{00000000-0008-0000-0600-0000F7000000}"/>
            </a:ext>
          </a:extLst>
        </xdr:cNvPr>
        <xdr:cNvCxnSpPr/>
      </xdr:nvCxnSpPr>
      <xdr:spPr>
        <a:xfrm>
          <a:off x="2070388" y="30861000"/>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53686</xdr:colOff>
      <xdr:row>792</xdr:row>
      <xdr:rowOff>200025</xdr:rowOff>
    </xdr:from>
    <xdr:to>
      <xdr:col>7</xdr:col>
      <xdr:colOff>152400</xdr:colOff>
      <xdr:row>792</xdr:row>
      <xdr:rowOff>204354</xdr:rowOff>
    </xdr:to>
    <xdr:cxnSp macro="">
      <xdr:nvCxnSpPr>
        <xdr:cNvPr id="248" name="Straight Arrow Connector 247">
          <a:extLst>
            <a:ext uri="{FF2B5EF4-FFF2-40B4-BE49-F238E27FC236}">
              <a16:creationId xmlns:a16="http://schemas.microsoft.com/office/drawing/2014/main" xmlns="" id="{00000000-0008-0000-0600-0000F8000000}"/>
            </a:ext>
          </a:extLst>
        </xdr:cNvPr>
        <xdr:cNvCxnSpPr/>
      </xdr:nvCxnSpPr>
      <xdr:spPr>
        <a:xfrm flipV="1">
          <a:off x="1882486" y="31708725"/>
          <a:ext cx="279689" cy="432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795</xdr:row>
      <xdr:rowOff>14473</xdr:rowOff>
    </xdr:from>
    <xdr:to>
      <xdr:col>9</xdr:col>
      <xdr:colOff>108858</xdr:colOff>
      <xdr:row>795</xdr:row>
      <xdr:rowOff>14473</xdr:rowOff>
    </xdr:to>
    <xdr:cxnSp macro="">
      <xdr:nvCxnSpPr>
        <xdr:cNvPr id="249" name="Straight Arrow Connector 248">
          <a:extLst>
            <a:ext uri="{FF2B5EF4-FFF2-40B4-BE49-F238E27FC236}">
              <a16:creationId xmlns:a16="http://schemas.microsoft.com/office/drawing/2014/main" xmlns="" id="{00000000-0008-0000-0600-0000F9000000}"/>
            </a:ext>
          </a:extLst>
        </xdr:cNvPr>
        <xdr:cNvCxnSpPr/>
      </xdr:nvCxnSpPr>
      <xdr:spPr>
        <a:xfrm>
          <a:off x="1937905" y="32666173"/>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46883</xdr:colOff>
      <xdr:row>797</xdr:row>
      <xdr:rowOff>194582</xdr:rowOff>
    </xdr:from>
    <xdr:to>
      <xdr:col>11</xdr:col>
      <xdr:colOff>190500</xdr:colOff>
      <xdr:row>797</xdr:row>
      <xdr:rowOff>200025</xdr:rowOff>
    </xdr:to>
    <xdr:cxnSp macro="">
      <xdr:nvCxnSpPr>
        <xdr:cNvPr id="250" name="Straight Arrow Connector 249">
          <a:extLst>
            <a:ext uri="{FF2B5EF4-FFF2-40B4-BE49-F238E27FC236}">
              <a16:creationId xmlns:a16="http://schemas.microsoft.com/office/drawing/2014/main" xmlns="" id="{00000000-0008-0000-0600-0000FA000000}"/>
            </a:ext>
          </a:extLst>
        </xdr:cNvPr>
        <xdr:cNvCxnSpPr/>
      </xdr:nvCxnSpPr>
      <xdr:spPr>
        <a:xfrm>
          <a:off x="1875683" y="33608282"/>
          <a:ext cx="1048492" cy="5443"/>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801</xdr:row>
      <xdr:rowOff>167986</xdr:rowOff>
    </xdr:from>
    <xdr:to>
      <xdr:col>9</xdr:col>
      <xdr:colOff>96981</xdr:colOff>
      <xdr:row>801</xdr:row>
      <xdr:rowOff>167986</xdr:rowOff>
    </xdr:to>
    <xdr:cxnSp macro="">
      <xdr:nvCxnSpPr>
        <xdr:cNvPr id="251" name="Straight Arrow Connector 250">
          <a:extLst>
            <a:ext uri="{FF2B5EF4-FFF2-40B4-BE49-F238E27FC236}">
              <a16:creationId xmlns:a16="http://schemas.microsoft.com/office/drawing/2014/main" xmlns="" id="{00000000-0008-0000-0600-0000FB000000}"/>
            </a:ext>
          </a:extLst>
        </xdr:cNvPr>
        <xdr:cNvCxnSpPr/>
      </xdr:nvCxnSpPr>
      <xdr:spPr>
        <a:xfrm>
          <a:off x="2025361" y="35239036"/>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799</xdr:row>
      <xdr:rowOff>295275</xdr:rowOff>
    </xdr:from>
    <xdr:to>
      <xdr:col>9</xdr:col>
      <xdr:colOff>71870</xdr:colOff>
      <xdr:row>799</xdr:row>
      <xdr:rowOff>295275</xdr:rowOff>
    </xdr:to>
    <xdr:cxnSp macro="">
      <xdr:nvCxnSpPr>
        <xdr:cNvPr id="252" name="Straight Arrow Connector 251">
          <a:extLst>
            <a:ext uri="{FF2B5EF4-FFF2-40B4-BE49-F238E27FC236}">
              <a16:creationId xmlns:a16="http://schemas.microsoft.com/office/drawing/2014/main" xmlns="" id="{00000000-0008-0000-0600-0000FC000000}"/>
            </a:ext>
          </a:extLst>
        </xdr:cNvPr>
        <xdr:cNvCxnSpPr/>
      </xdr:nvCxnSpPr>
      <xdr:spPr>
        <a:xfrm>
          <a:off x="1978479" y="34470975"/>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789</xdr:row>
      <xdr:rowOff>0</xdr:rowOff>
    </xdr:from>
    <xdr:to>
      <xdr:col>17</xdr:col>
      <xdr:colOff>231323</xdr:colOff>
      <xdr:row>789</xdr:row>
      <xdr:rowOff>352425</xdr:rowOff>
    </xdr:to>
    <xdr:cxnSp macro="">
      <xdr:nvCxnSpPr>
        <xdr:cNvPr id="253" name="Straight Arrow Connector 252">
          <a:extLst>
            <a:ext uri="{FF2B5EF4-FFF2-40B4-BE49-F238E27FC236}">
              <a16:creationId xmlns:a16="http://schemas.microsoft.com/office/drawing/2014/main" xmlns="" id="{00000000-0008-0000-0600-0000FD000000}"/>
            </a:ext>
          </a:extLst>
        </xdr:cNvPr>
        <xdr:cNvCxnSpPr/>
      </xdr:nvCxnSpPr>
      <xdr:spPr>
        <a:xfrm flipV="1">
          <a:off x="5400675" y="30365700"/>
          <a:ext cx="2723" cy="3524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799</xdr:row>
      <xdr:rowOff>276225</xdr:rowOff>
    </xdr:from>
    <xdr:to>
      <xdr:col>17</xdr:col>
      <xdr:colOff>209550</xdr:colOff>
      <xdr:row>799</xdr:row>
      <xdr:rowOff>285750</xdr:rowOff>
    </xdr:to>
    <xdr:cxnSp macro="">
      <xdr:nvCxnSpPr>
        <xdr:cNvPr id="254" name="Straight Connector 253">
          <a:extLst>
            <a:ext uri="{FF2B5EF4-FFF2-40B4-BE49-F238E27FC236}">
              <a16:creationId xmlns:a16="http://schemas.microsoft.com/office/drawing/2014/main" xmlns="" id="{00000000-0008-0000-0600-0000FE000000}"/>
            </a:ext>
          </a:extLst>
        </xdr:cNvPr>
        <xdr:cNvCxnSpPr/>
      </xdr:nvCxnSpPr>
      <xdr:spPr>
        <a:xfrm flipV="1">
          <a:off x="4048125" y="34451925"/>
          <a:ext cx="1333500"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798</xdr:row>
      <xdr:rowOff>66675</xdr:rowOff>
    </xdr:from>
    <xdr:to>
      <xdr:col>17</xdr:col>
      <xdr:colOff>209550</xdr:colOff>
      <xdr:row>799</xdr:row>
      <xdr:rowOff>285750</xdr:rowOff>
    </xdr:to>
    <xdr:cxnSp macro="">
      <xdr:nvCxnSpPr>
        <xdr:cNvPr id="255" name="Straight Arrow Connector 254">
          <a:extLst>
            <a:ext uri="{FF2B5EF4-FFF2-40B4-BE49-F238E27FC236}">
              <a16:creationId xmlns:a16="http://schemas.microsoft.com/office/drawing/2014/main" xmlns="" id="{00000000-0008-0000-0600-0000FF000000}"/>
            </a:ext>
          </a:extLst>
        </xdr:cNvPr>
        <xdr:cNvCxnSpPr/>
      </xdr:nvCxnSpPr>
      <xdr:spPr>
        <a:xfrm flipV="1">
          <a:off x="5372100" y="33861375"/>
          <a:ext cx="9525" cy="60007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76200</xdr:colOff>
      <xdr:row>796</xdr:row>
      <xdr:rowOff>76200</xdr:rowOff>
    </xdr:from>
    <xdr:to>
      <xdr:col>15</xdr:col>
      <xdr:colOff>238125</xdr:colOff>
      <xdr:row>797</xdr:row>
      <xdr:rowOff>66675</xdr:rowOff>
    </xdr:to>
    <xdr:cxnSp macro="">
      <xdr:nvCxnSpPr>
        <xdr:cNvPr id="256" name="Straight Arrow Connector 255">
          <a:extLst>
            <a:ext uri="{FF2B5EF4-FFF2-40B4-BE49-F238E27FC236}">
              <a16:creationId xmlns:a16="http://schemas.microsoft.com/office/drawing/2014/main" xmlns="" id="{00000000-0008-0000-0600-000000010000}"/>
            </a:ext>
          </a:extLst>
        </xdr:cNvPr>
        <xdr:cNvCxnSpPr/>
      </xdr:nvCxnSpPr>
      <xdr:spPr>
        <a:xfrm flipH="1" flipV="1">
          <a:off x="4095750" y="33108900"/>
          <a:ext cx="514350" cy="3714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795</xdr:row>
      <xdr:rowOff>0</xdr:rowOff>
    </xdr:from>
    <xdr:to>
      <xdr:col>17</xdr:col>
      <xdr:colOff>161925</xdr:colOff>
      <xdr:row>795</xdr:row>
      <xdr:rowOff>0</xdr:rowOff>
    </xdr:to>
    <xdr:cxnSp macro="">
      <xdr:nvCxnSpPr>
        <xdr:cNvPr id="257" name="Straight Connector 256">
          <a:extLst>
            <a:ext uri="{FF2B5EF4-FFF2-40B4-BE49-F238E27FC236}">
              <a16:creationId xmlns:a16="http://schemas.microsoft.com/office/drawing/2014/main" xmlns="" id="{00000000-0008-0000-0600-000001010000}"/>
            </a:ext>
          </a:extLst>
        </xdr:cNvPr>
        <xdr:cNvCxnSpPr/>
      </xdr:nvCxnSpPr>
      <xdr:spPr>
        <a:xfrm>
          <a:off x="4019550" y="32651700"/>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802</xdr:row>
      <xdr:rowOff>0</xdr:rowOff>
    </xdr:from>
    <xdr:to>
      <xdr:col>12</xdr:col>
      <xdr:colOff>200025</xdr:colOff>
      <xdr:row>802</xdr:row>
      <xdr:rowOff>361950</xdr:rowOff>
    </xdr:to>
    <xdr:cxnSp macro="">
      <xdr:nvCxnSpPr>
        <xdr:cNvPr id="258" name="Straight Arrow Connector 257">
          <a:extLst>
            <a:ext uri="{FF2B5EF4-FFF2-40B4-BE49-F238E27FC236}">
              <a16:creationId xmlns:a16="http://schemas.microsoft.com/office/drawing/2014/main" xmlns="" id="{00000000-0008-0000-0600-000002010000}"/>
            </a:ext>
          </a:extLst>
        </xdr:cNvPr>
        <xdr:cNvCxnSpPr/>
      </xdr:nvCxnSpPr>
      <xdr:spPr>
        <a:xfrm flipV="1">
          <a:off x="3362325" y="3545205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769</xdr:row>
      <xdr:rowOff>38100</xdr:rowOff>
    </xdr:from>
    <xdr:to>
      <xdr:col>15</xdr:col>
      <xdr:colOff>9525</xdr:colOff>
      <xdr:row>770</xdr:row>
      <xdr:rowOff>142875</xdr:rowOff>
    </xdr:to>
    <xdr:cxnSp macro="">
      <xdr:nvCxnSpPr>
        <xdr:cNvPr id="259" name="Straight Arrow Connector 258">
          <a:extLst>
            <a:ext uri="{FF2B5EF4-FFF2-40B4-BE49-F238E27FC236}">
              <a16:creationId xmlns:a16="http://schemas.microsoft.com/office/drawing/2014/main" xmlns="" id="{00000000-0008-0000-0600-000003010000}"/>
            </a:ext>
          </a:extLst>
        </xdr:cNvPr>
        <xdr:cNvCxnSpPr/>
      </xdr:nvCxnSpPr>
      <xdr:spPr>
        <a:xfrm flipH="1" flipV="1">
          <a:off x="4371975" y="23079075"/>
          <a:ext cx="9525" cy="41910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361950</xdr:colOff>
      <xdr:row>770</xdr:row>
      <xdr:rowOff>133350</xdr:rowOff>
    </xdr:from>
    <xdr:to>
      <xdr:col>14</xdr:col>
      <xdr:colOff>295275</xdr:colOff>
      <xdr:row>770</xdr:row>
      <xdr:rowOff>142875</xdr:rowOff>
    </xdr:to>
    <xdr:cxnSp macro="">
      <xdr:nvCxnSpPr>
        <xdr:cNvPr id="260" name="Straight Connector 259">
          <a:extLst>
            <a:ext uri="{FF2B5EF4-FFF2-40B4-BE49-F238E27FC236}">
              <a16:creationId xmlns:a16="http://schemas.microsoft.com/office/drawing/2014/main" xmlns="" id="{00000000-0008-0000-0600-000004010000}"/>
            </a:ext>
          </a:extLst>
        </xdr:cNvPr>
        <xdr:cNvCxnSpPr/>
      </xdr:nvCxnSpPr>
      <xdr:spPr>
        <a:xfrm flipV="1">
          <a:off x="3952875" y="23488650"/>
          <a:ext cx="361950" cy="9525"/>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133350</xdr:colOff>
      <xdr:row>770</xdr:row>
      <xdr:rowOff>161925</xdr:rowOff>
    </xdr:from>
    <xdr:to>
      <xdr:col>10</xdr:col>
      <xdr:colOff>142875</xdr:colOff>
      <xdr:row>770</xdr:row>
      <xdr:rowOff>161925</xdr:rowOff>
    </xdr:to>
    <xdr:cxnSp macro="">
      <xdr:nvCxnSpPr>
        <xdr:cNvPr id="261" name="Straight Connector 260">
          <a:extLst>
            <a:ext uri="{FF2B5EF4-FFF2-40B4-BE49-F238E27FC236}">
              <a16:creationId xmlns:a16="http://schemas.microsoft.com/office/drawing/2014/main" xmlns="" id="{00000000-0008-0000-0600-000005010000}"/>
            </a:ext>
          </a:extLst>
        </xdr:cNvPr>
        <xdr:cNvCxnSpPr/>
      </xdr:nvCxnSpPr>
      <xdr:spPr>
        <a:xfrm flipH="1">
          <a:off x="2324100" y="23517225"/>
          <a:ext cx="371475"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767</xdr:row>
      <xdr:rowOff>28575</xdr:rowOff>
    </xdr:from>
    <xdr:to>
      <xdr:col>14</xdr:col>
      <xdr:colOff>38100</xdr:colOff>
      <xdr:row>767</xdr:row>
      <xdr:rowOff>276225</xdr:rowOff>
    </xdr:to>
    <xdr:cxnSp macro="">
      <xdr:nvCxnSpPr>
        <xdr:cNvPr id="262" name="Straight Arrow Connector 261">
          <a:extLst>
            <a:ext uri="{FF2B5EF4-FFF2-40B4-BE49-F238E27FC236}">
              <a16:creationId xmlns:a16="http://schemas.microsoft.com/office/drawing/2014/main" xmlns="" id="{00000000-0008-0000-0600-000006010000}"/>
            </a:ext>
          </a:extLst>
        </xdr:cNvPr>
        <xdr:cNvCxnSpPr/>
      </xdr:nvCxnSpPr>
      <xdr:spPr>
        <a:xfrm flipH="1" flipV="1">
          <a:off x="3714750" y="22231350"/>
          <a:ext cx="342900" cy="2476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76200</xdr:colOff>
      <xdr:row>793</xdr:row>
      <xdr:rowOff>47626</xdr:rowOff>
    </xdr:from>
    <xdr:to>
      <xdr:col>15</xdr:col>
      <xdr:colOff>76200</xdr:colOff>
      <xdr:row>794</xdr:row>
      <xdr:rowOff>180975</xdr:rowOff>
    </xdr:to>
    <xdr:cxnSp macro="">
      <xdr:nvCxnSpPr>
        <xdr:cNvPr id="263" name="Straight Arrow Connector 262">
          <a:extLst>
            <a:ext uri="{FF2B5EF4-FFF2-40B4-BE49-F238E27FC236}">
              <a16:creationId xmlns:a16="http://schemas.microsoft.com/office/drawing/2014/main" xmlns="" id="{00000000-0008-0000-0600-000007010000}"/>
            </a:ext>
          </a:extLst>
        </xdr:cNvPr>
        <xdr:cNvCxnSpPr/>
      </xdr:nvCxnSpPr>
      <xdr:spPr>
        <a:xfrm flipV="1">
          <a:off x="4448175" y="31937326"/>
          <a:ext cx="0" cy="514349"/>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352425</xdr:colOff>
      <xdr:row>794</xdr:row>
      <xdr:rowOff>180975</xdr:rowOff>
    </xdr:from>
    <xdr:to>
      <xdr:col>15</xdr:col>
      <xdr:colOff>76200</xdr:colOff>
      <xdr:row>794</xdr:row>
      <xdr:rowOff>180975</xdr:rowOff>
    </xdr:to>
    <xdr:cxnSp macro="">
      <xdr:nvCxnSpPr>
        <xdr:cNvPr id="264" name="Straight Connector 263">
          <a:extLst>
            <a:ext uri="{FF2B5EF4-FFF2-40B4-BE49-F238E27FC236}">
              <a16:creationId xmlns:a16="http://schemas.microsoft.com/office/drawing/2014/main" xmlns="" id="{00000000-0008-0000-0600-000008010000}"/>
            </a:ext>
          </a:extLst>
        </xdr:cNvPr>
        <xdr:cNvCxnSpPr/>
      </xdr:nvCxnSpPr>
      <xdr:spPr>
        <a:xfrm>
          <a:off x="3943350" y="32451675"/>
          <a:ext cx="504825"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66675</xdr:colOff>
      <xdr:row>794</xdr:row>
      <xdr:rowOff>114300</xdr:rowOff>
    </xdr:from>
    <xdr:to>
      <xdr:col>10</xdr:col>
      <xdr:colOff>152400</xdr:colOff>
      <xdr:row>794</xdr:row>
      <xdr:rowOff>114300</xdr:rowOff>
    </xdr:to>
    <xdr:cxnSp macro="">
      <xdr:nvCxnSpPr>
        <xdr:cNvPr id="265" name="Straight Connector 264">
          <a:extLst>
            <a:ext uri="{FF2B5EF4-FFF2-40B4-BE49-F238E27FC236}">
              <a16:creationId xmlns:a16="http://schemas.microsoft.com/office/drawing/2014/main" xmlns="" id="{00000000-0008-0000-0600-000009010000}"/>
            </a:ext>
          </a:extLst>
        </xdr:cNvPr>
        <xdr:cNvCxnSpPr/>
      </xdr:nvCxnSpPr>
      <xdr:spPr>
        <a:xfrm>
          <a:off x="2438400" y="32385000"/>
          <a:ext cx="26670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142875</xdr:colOff>
      <xdr:row>801</xdr:row>
      <xdr:rowOff>171450</xdr:rowOff>
    </xdr:from>
    <xdr:to>
      <xdr:col>17</xdr:col>
      <xdr:colOff>142875</xdr:colOff>
      <xdr:row>805</xdr:row>
      <xdr:rowOff>0</xdr:rowOff>
    </xdr:to>
    <xdr:cxnSp macro="">
      <xdr:nvCxnSpPr>
        <xdr:cNvPr id="266" name="Straight Connector 265">
          <a:extLst>
            <a:ext uri="{FF2B5EF4-FFF2-40B4-BE49-F238E27FC236}">
              <a16:creationId xmlns:a16="http://schemas.microsoft.com/office/drawing/2014/main" xmlns="" id="{00000000-0008-0000-0600-00000A010000}"/>
            </a:ext>
          </a:extLst>
        </xdr:cNvPr>
        <xdr:cNvCxnSpPr/>
      </xdr:nvCxnSpPr>
      <xdr:spPr>
        <a:xfrm>
          <a:off x="5314950" y="35242500"/>
          <a:ext cx="0" cy="135255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352425</xdr:colOff>
      <xdr:row>801</xdr:row>
      <xdr:rowOff>161925</xdr:rowOff>
    </xdr:from>
    <xdr:to>
      <xdr:col>17</xdr:col>
      <xdr:colOff>152400</xdr:colOff>
      <xdr:row>801</xdr:row>
      <xdr:rowOff>171450</xdr:rowOff>
    </xdr:to>
    <xdr:cxnSp macro="">
      <xdr:nvCxnSpPr>
        <xdr:cNvPr id="267" name="Straight Arrow Connector 266">
          <a:extLst>
            <a:ext uri="{FF2B5EF4-FFF2-40B4-BE49-F238E27FC236}">
              <a16:creationId xmlns:a16="http://schemas.microsoft.com/office/drawing/2014/main" xmlns="" id="{00000000-0008-0000-0600-00000B010000}"/>
            </a:ext>
          </a:extLst>
        </xdr:cNvPr>
        <xdr:cNvCxnSpPr/>
      </xdr:nvCxnSpPr>
      <xdr:spPr>
        <a:xfrm flipH="1">
          <a:off x="3943350" y="35232975"/>
          <a:ext cx="1381125" cy="9525"/>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821</xdr:row>
      <xdr:rowOff>6804</xdr:rowOff>
    </xdr:from>
    <xdr:to>
      <xdr:col>9</xdr:col>
      <xdr:colOff>13978</xdr:colOff>
      <xdr:row>822</xdr:row>
      <xdr:rowOff>161925</xdr:rowOff>
    </xdr:to>
    <xdr:cxnSp macro="">
      <xdr:nvCxnSpPr>
        <xdr:cNvPr id="268" name="Straight Arrow Connector 267">
          <a:extLst>
            <a:ext uri="{FF2B5EF4-FFF2-40B4-BE49-F238E27FC236}">
              <a16:creationId xmlns:a16="http://schemas.microsoft.com/office/drawing/2014/main" xmlns="" id="{00000000-0008-0000-0600-00000C010000}"/>
            </a:ext>
          </a:extLst>
        </xdr:cNvPr>
        <xdr:cNvCxnSpPr/>
      </xdr:nvCxnSpPr>
      <xdr:spPr>
        <a:xfrm flipV="1">
          <a:off x="2371725" y="41535804"/>
          <a:ext cx="13978" cy="46944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819</xdr:row>
      <xdr:rowOff>28575</xdr:rowOff>
    </xdr:from>
    <xdr:to>
      <xdr:col>12</xdr:col>
      <xdr:colOff>141886</xdr:colOff>
      <xdr:row>819</xdr:row>
      <xdr:rowOff>276225</xdr:rowOff>
    </xdr:to>
    <xdr:cxnSp macro="">
      <xdr:nvCxnSpPr>
        <xdr:cNvPr id="269" name="Straight Arrow Connector 268">
          <a:extLst>
            <a:ext uri="{FF2B5EF4-FFF2-40B4-BE49-F238E27FC236}">
              <a16:creationId xmlns:a16="http://schemas.microsoft.com/office/drawing/2014/main" xmlns="" id="{00000000-0008-0000-0600-00000D010000}"/>
            </a:ext>
          </a:extLst>
        </xdr:cNvPr>
        <xdr:cNvCxnSpPr/>
      </xdr:nvCxnSpPr>
      <xdr:spPr>
        <a:xfrm flipV="1">
          <a:off x="2819400" y="40719375"/>
          <a:ext cx="484786" cy="2476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816</xdr:row>
      <xdr:rowOff>378278</xdr:rowOff>
    </xdr:from>
    <xdr:to>
      <xdr:col>12</xdr:col>
      <xdr:colOff>131618</xdr:colOff>
      <xdr:row>817</xdr:row>
      <xdr:rowOff>330652</xdr:rowOff>
    </xdr:to>
    <xdr:cxnSp macro="">
      <xdr:nvCxnSpPr>
        <xdr:cNvPr id="270" name="Straight Arrow Connector 269">
          <a:extLst>
            <a:ext uri="{FF2B5EF4-FFF2-40B4-BE49-F238E27FC236}">
              <a16:creationId xmlns:a16="http://schemas.microsoft.com/office/drawing/2014/main" xmlns="" id="{00000000-0008-0000-0600-00000E010000}"/>
            </a:ext>
          </a:extLst>
        </xdr:cNvPr>
        <xdr:cNvCxnSpPr/>
      </xdr:nvCxnSpPr>
      <xdr:spPr>
        <a:xfrm flipV="1">
          <a:off x="3293918" y="39983228"/>
          <a:ext cx="0" cy="3238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816</xdr:row>
      <xdr:rowOff>112568</xdr:rowOff>
    </xdr:from>
    <xdr:to>
      <xdr:col>9</xdr:col>
      <xdr:colOff>361084</xdr:colOff>
      <xdr:row>816</xdr:row>
      <xdr:rowOff>112568</xdr:rowOff>
    </xdr:to>
    <xdr:cxnSp macro="">
      <xdr:nvCxnSpPr>
        <xdr:cNvPr id="271" name="Straight Arrow Connector 270">
          <a:extLst>
            <a:ext uri="{FF2B5EF4-FFF2-40B4-BE49-F238E27FC236}">
              <a16:creationId xmlns:a16="http://schemas.microsoft.com/office/drawing/2014/main" xmlns="" id="{00000000-0008-0000-0600-00000F010000}"/>
            </a:ext>
          </a:extLst>
        </xdr:cNvPr>
        <xdr:cNvCxnSpPr/>
      </xdr:nvCxnSpPr>
      <xdr:spPr>
        <a:xfrm>
          <a:off x="2106757" y="39717518"/>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818</xdr:row>
      <xdr:rowOff>114300</xdr:rowOff>
    </xdr:from>
    <xdr:to>
      <xdr:col>9</xdr:col>
      <xdr:colOff>343765</xdr:colOff>
      <xdr:row>818</xdr:row>
      <xdr:rowOff>114300</xdr:rowOff>
    </xdr:to>
    <xdr:cxnSp macro="">
      <xdr:nvCxnSpPr>
        <xdr:cNvPr id="272" name="Straight Arrow Connector 271">
          <a:extLst>
            <a:ext uri="{FF2B5EF4-FFF2-40B4-BE49-F238E27FC236}">
              <a16:creationId xmlns:a16="http://schemas.microsoft.com/office/drawing/2014/main" xmlns="" id="{00000000-0008-0000-0600-000010010000}"/>
            </a:ext>
          </a:extLst>
        </xdr:cNvPr>
        <xdr:cNvCxnSpPr/>
      </xdr:nvCxnSpPr>
      <xdr:spPr>
        <a:xfrm>
          <a:off x="2070388" y="40424100"/>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15586</xdr:colOff>
      <xdr:row>820</xdr:row>
      <xdr:rowOff>204354</xdr:rowOff>
    </xdr:from>
    <xdr:to>
      <xdr:col>7</xdr:col>
      <xdr:colOff>142875</xdr:colOff>
      <xdr:row>820</xdr:row>
      <xdr:rowOff>209550</xdr:rowOff>
    </xdr:to>
    <xdr:cxnSp macro="">
      <xdr:nvCxnSpPr>
        <xdr:cNvPr id="273" name="Straight Arrow Connector 272">
          <a:extLst>
            <a:ext uri="{FF2B5EF4-FFF2-40B4-BE49-F238E27FC236}">
              <a16:creationId xmlns:a16="http://schemas.microsoft.com/office/drawing/2014/main" xmlns="" id="{00000000-0008-0000-0600-000011010000}"/>
            </a:ext>
          </a:extLst>
        </xdr:cNvPr>
        <xdr:cNvCxnSpPr/>
      </xdr:nvCxnSpPr>
      <xdr:spPr>
        <a:xfrm>
          <a:off x="1844386" y="41199954"/>
          <a:ext cx="308264" cy="519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817</xdr:row>
      <xdr:rowOff>0</xdr:rowOff>
    </xdr:from>
    <xdr:to>
      <xdr:col>17</xdr:col>
      <xdr:colOff>231323</xdr:colOff>
      <xdr:row>817</xdr:row>
      <xdr:rowOff>352425</xdr:rowOff>
    </xdr:to>
    <xdr:cxnSp macro="">
      <xdr:nvCxnSpPr>
        <xdr:cNvPr id="274" name="Straight Arrow Connector 273">
          <a:extLst>
            <a:ext uri="{FF2B5EF4-FFF2-40B4-BE49-F238E27FC236}">
              <a16:creationId xmlns:a16="http://schemas.microsoft.com/office/drawing/2014/main" xmlns="" id="{00000000-0008-0000-0600-000012010000}"/>
            </a:ext>
          </a:extLst>
        </xdr:cNvPr>
        <xdr:cNvCxnSpPr/>
      </xdr:nvCxnSpPr>
      <xdr:spPr>
        <a:xfrm flipV="1">
          <a:off x="5400675" y="39985950"/>
          <a:ext cx="2723" cy="3238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821</xdr:row>
      <xdr:rowOff>38100</xdr:rowOff>
    </xdr:from>
    <xdr:to>
      <xdr:col>15</xdr:col>
      <xdr:colOff>9525</xdr:colOff>
      <xdr:row>822</xdr:row>
      <xdr:rowOff>142875</xdr:rowOff>
    </xdr:to>
    <xdr:cxnSp macro="">
      <xdr:nvCxnSpPr>
        <xdr:cNvPr id="275" name="Straight Arrow Connector 274">
          <a:extLst>
            <a:ext uri="{FF2B5EF4-FFF2-40B4-BE49-F238E27FC236}">
              <a16:creationId xmlns:a16="http://schemas.microsoft.com/office/drawing/2014/main" xmlns="" id="{00000000-0008-0000-0600-000013010000}"/>
            </a:ext>
          </a:extLst>
        </xdr:cNvPr>
        <xdr:cNvCxnSpPr/>
      </xdr:nvCxnSpPr>
      <xdr:spPr>
        <a:xfrm flipH="1" flipV="1">
          <a:off x="4371975" y="41567100"/>
          <a:ext cx="9525" cy="41910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819</xdr:row>
      <xdr:rowOff>28575</xdr:rowOff>
    </xdr:from>
    <xdr:to>
      <xdr:col>14</xdr:col>
      <xdr:colOff>38100</xdr:colOff>
      <xdr:row>819</xdr:row>
      <xdr:rowOff>276225</xdr:rowOff>
    </xdr:to>
    <xdr:cxnSp macro="">
      <xdr:nvCxnSpPr>
        <xdr:cNvPr id="276" name="Straight Arrow Connector 275">
          <a:extLst>
            <a:ext uri="{FF2B5EF4-FFF2-40B4-BE49-F238E27FC236}">
              <a16:creationId xmlns:a16="http://schemas.microsoft.com/office/drawing/2014/main" xmlns="" id="{00000000-0008-0000-0600-000014010000}"/>
            </a:ext>
          </a:extLst>
        </xdr:cNvPr>
        <xdr:cNvCxnSpPr/>
      </xdr:nvCxnSpPr>
      <xdr:spPr>
        <a:xfrm flipH="1" flipV="1">
          <a:off x="3714750" y="40719375"/>
          <a:ext cx="342900" cy="2476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855</xdr:row>
      <xdr:rowOff>61479</xdr:rowOff>
    </xdr:from>
    <xdr:to>
      <xdr:col>12</xdr:col>
      <xdr:colOff>183573</xdr:colOff>
      <xdr:row>855</xdr:row>
      <xdr:rowOff>347229</xdr:rowOff>
    </xdr:to>
    <xdr:cxnSp macro="">
      <xdr:nvCxnSpPr>
        <xdr:cNvPr id="277" name="Straight Arrow Connector 276">
          <a:extLst>
            <a:ext uri="{FF2B5EF4-FFF2-40B4-BE49-F238E27FC236}">
              <a16:creationId xmlns:a16="http://schemas.microsoft.com/office/drawing/2014/main" xmlns="" id="{00000000-0008-0000-0600-000015010000}"/>
            </a:ext>
          </a:extLst>
        </xdr:cNvPr>
        <xdr:cNvCxnSpPr/>
      </xdr:nvCxnSpPr>
      <xdr:spPr>
        <a:xfrm flipV="1">
          <a:off x="3345873" y="54049179"/>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171450</xdr:colOff>
      <xdr:row>852</xdr:row>
      <xdr:rowOff>363312</xdr:rowOff>
    </xdr:from>
    <xdr:to>
      <xdr:col>12</xdr:col>
      <xdr:colOff>191860</xdr:colOff>
      <xdr:row>854</xdr:row>
      <xdr:rowOff>9525</xdr:rowOff>
    </xdr:to>
    <xdr:cxnSp macro="">
      <xdr:nvCxnSpPr>
        <xdr:cNvPr id="278" name="Straight Arrow Connector 277">
          <a:extLst>
            <a:ext uri="{FF2B5EF4-FFF2-40B4-BE49-F238E27FC236}">
              <a16:creationId xmlns:a16="http://schemas.microsoft.com/office/drawing/2014/main" xmlns="" id="{00000000-0008-0000-0600-000016010000}"/>
            </a:ext>
          </a:extLst>
        </xdr:cNvPr>
        <xdr:cNvCxnSpPr/>
      </xdr:nvCxnSpPr>
      <xdr:spPr>
        <a:xfrm flipV="1">
          <a:off x="3333750" y="53141337"/>
          <a:ext cx="20410" cy="341538"/>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849</xdr:row>
      <xdr:rowOff>28575</xdr:rowOff>
    </xdr:from>
    <xdr:to>
      <xdr:col>17</xdr:col>
      <xdr:colOff>161925</xdr:colOff>
      <xdr:row>852</xdr:row>
      <xdr:rowOff>9526</xdr:rowOff>
    </xdr:to>
    <xdr:cxnSp macro="">
      <xdr:nvCxnSpPr>
        <xdr:cNvPr id="279" name="Straight Arrow Connector 278">
          <a:extLst>
            <a:ext uri="{FF2B5EF4-FFF2-40B4-BE49-F238E27FC236}">
              <a16:creationId xmlns:a16="http://schemas.microsoft.com/office/drawing/2014/main" xmlns="" id="{00000000-0008-0000-0600-000017010000}"/>
            </a:ext>
          </a:extLst>
        </xdr:cNvPr>
        <xdr:cNvCxnSpPr/>
      </xdr:nvCxnSpPr>
      <xdr:spPr>
        <a:xfrm flipV="1">
          <a:off x="5334000" y="51796950"/>
          <a:ext cx="0" cy="99060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847</xdr:row>
      <xdr:rowOff>6804</xdr:rowOff>
    </xdr:from>
    <xdr:to>
      <xdr:col>9</xdr:col>
      <xdr:colOff>13978</xdr:colOff>
      <xdr:row>851</xdr:row>
      <xdr:rowOff>161925</xdr:rowOff>
    </xdr:to>
    <xdr:cxnSp macro="">
      <xdr:nvCxnSpPr>
        <xdr:cNvPr id="280" name="Straight Arrow Connector 279">
          <a:extLst>
            <a:ext uri="{FF2B5EF4-FFF2-40B4-BE49-F238E27FC236}">
              <a16:creationId xmlns:a16="http://schemas.microsoft.com/office/drawing/2014/main" xmlns="" id="{00000000-0008-0000-0600-000018010000}"/>
            </a:ext>
          </a:extLst>
        </xdr:cNvPr>
        <xdr:cNvCxnSpPr/>
      </xdr:nvCxnSpPr>
      <xdr:spPr>
        <a:xfrm flipV="1">
          <a:off x="2371725" y="50994129"/>
          <a:ext cx="13978" cy="15648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845</xdr:row>
      <xdr:rowOff>28575</xdr:rowOff>
    </xdr:from>
    <xdr:to>
      <xdr:col>12</xdr:col>
      <xdr:colOff>141886</xdr:colOff>
      <xdr:row>845</xdr:row>
      <xdr:rowOff>276225</xdr:rowOff>
    </xdr:to>
    <xdr:cxnSp macro="">
      <xdr:nvCxnSpPr>
        <xdr:cNvPr id="281" name="Straight Arrow Connector 280">
          <a:extLst>
            <a:ext uri="{FF2B5EF4-FFF2-40B4-BE49-F238E27FC236}">
              <a16:creationId xmlns:a16="http://schemas.microsoft.com/office/drawing/2014/main" xmlns="" id="{00000000-0008-0000-0600-000019010000}"/>
            </a:ext>
          </a:extLst>
        </xdr:cNvPr>
        <xdr:cNvCxnSpPr/>
      </xdr:nvCxnSpPr>
      <xdr:spPr>
        <a:xfrm flipV="1">
          <a:off x="2819400" y="50177700"/>
          <a:ext cx="484786" cy="2476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842</xdr:row>
      <xdr:rowOff>378278</xdr:rowOff>
    </xdr:from>
    <xdr:to>
      <xdr:col>12</xdr:col>
      <xdr:colOff>131618</xdr:colOff>
      <xdr:row>843</xdr:row>
      <xdr:rowOff>330652</xdr:rowOff>
    </xdr:to>
    <xdr:cxnSp macro="">
      <xdr:nvCxnSpPr>
        <xdr:cNvPr id="282" name="Straight Arrow Connector 281">
          <a:extLst>
            <a:ext uri="{FF2B5EF4-FFF2-40B4-BE49-F238E27FC236}">
              <a16:creationId xmlns:a16="http://schemas.microsoft.com/office/drawing/2014/main" xmlns="" id="{00000000-0008-0000-0600-00001A010000}"/>
            </a:ext>
          </a:extLst>
        </xdr:cNvPr>
        <xdr:cNvCxnSpPr/>
      </xdr:nvCxnSpPr>
      <xdr:spPr>
        <a:xfrm flipV="1">
          <a:off x="3293918" y="49441553"/>
          <a:ext cx="0" cy="3238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842</xdr:row>
      <xdr:rowOff>112568</xdr:rowOff>
    </xdr:from>
    <xdr:to>
      <xdr:col>9</xdr:col>
      <xdr:colOff>361084</xdr:colOff>
      <xdr:row>842</xdr:row>
      <xdr:rowOff>112568</xdr:rowOff>
    </xdr:to>
    <xdr:cxnSp macro="">
      <xdr:nvCxnSpPr>
        <xdr:cNvPr id="283" name="Straight Arrow Connector 282">
          <a:extLst>
            <a:ext uri="{FF2B5EF4-FFF2-40B4-BE49-F238E27FC236}">
              <a16:creationId xmlns:a16="http://schemas.microsoft.com/office/drawing/2014/main" xmlns="" id="{00000000-0008-0000-0600-00001B010000}"/>
            </a:ext>
          </a:extLst>
        </xdr:cNvPr>
        <xdr:cNvCxnSpPr/>
      </xdr:nvCxnSpPr>
      <xdr:spPr>
        <a:xfrm>
          <a:off x="2106757" y="49175843"/>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844</xdr:row>
      <xdr:rowOff>114300</xdr:rowOff>
    </xdr:from>
    <xdr:to>
      <xdr:col>9</xdr:col>
      <xdr:colOff>343765</xdr:colOff>
      <xdr:row>844</xdr:row>
      <xdr:rowOff>114300</xdr:rowOff>
    </xdr:to>
    <xdr:cxnSp macro="">
      <xdr:nvCxnSpPr>
        <xdr:cNvPr id="284" name="Straight Arrow Connector 283">
          <a:extLst>
            <a:ext uri="{FF2B5EF4-FFF2-40B4-BE49-F238E27FC236}">
              <a16:creationId xmlns:a16="http://schemas.microsoft.com/office/drawing/2014/main" xmlns="" id="{00000000-0008-0000-0600-00001C010000}"/>
            </a:ext>
          </a:extLst>
        </xdr:cNvPr>
        <xdr:cNvCxnSpPr/>
      </xdr:nvCxnSpPr>
      <xdr:spPr>
        <a:xfrm>
          <a:off x="2070388" y="49882425"/>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15586</xdr:colOff>
      <xdr:row>846</xdr:row>
      <xdr:rowOff>204354</xdr:rowOff>
    </xdr:from>
    <xdr:to>
      <xdr:col>7</xdr:col>
      <xdr:colOff>142875</xdr:colOff>
      <xdr:row>846</xdr:row>
      <xdr:rowOff>209550</xdr:rowOff>
    </xdr:to>
    <xdr:cxnSp macro="">
      <xdr:nvCxnSpPr>
        <xdr:cNvPr id="285" name="Straight Arrow Connector 284">
          <a:extLst>
            <a:ext uri="{FF2B5EF4-FFF2-40B4-BE49-F238E27FC236}">
              <a16:creationId xmlns:a16="http://schemas.microsoft.com/office/drawing/2014/main" xmlns="" id="{00000000-0008-0000-0600-00001D010000}"/>
            </a:ext>
          </a:extLst>
        </xdr:cNvPr>
        <xdr:cNvCxnSpPr/>
      </xdr:nvCxnSpPr>
      <xdr:spPr>
        <a:xfrm>
          <a:off x="1844386" y="50658279"/>
          <a:ext cx="308264" cy="519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852</xdr:row>
      <xdr:rowOff>14473</xdr:rowOff>
    </xdr:from>
    <xdr:to>
      <xdr:col>9</xdr:col>
      <xdr:colOff>108858</xdr:colOff>
      <xdr:row>852</xdr:row>
      <xdr:rowOff>14473</xdr:rowOff>
    </xdr:to>
    <xdr:cxnSp macro="">
      <xdr:nvCxnSpPr>
        <xdr:cNvPr id="286" name="Straight Arrow Connector 285">
          <a:extLst>
            <a:ext uri="{FF2B5EF4-FFF2-40B4-BE49-F238E27FC236}">
              <a16:creationId xmlns:a16="http://schemas.microsoft.com/office/drawing/2014/main" xmlns="" id="{00000000-0008-0000-0600-00001E010000}"/>
            </a:ext>
          </a:extLst>
        </xdr:cNvPr>
        <xdr:cNvCxnSpPr/>
      </xdr:nvCxnSpPr>
      <xdr:spPr>
        <a:xfrm>
          <a:off x="1937905" y="52792498"/>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856</xdr:row>
      <xdr:rowOff>167986</xdr:rowOff>
    </xdr:from>
    <xdr:to>
      <xdr:col>9</xdr:col>
      <xdr:colOff>96981</xdr:colOff>
      <xdr:row>856</xdr:row>
      <xdr:rowOff>167986</xdr:rowOff>
    </xdr:to>
    <xdr:cxnSp macro="">
      <xdr:nvCxnSpPr>
        <xdr:cNvPr id="287" name="Straight Arrow Connector 286">
          <a:extLst>
            <a:ext uri="{FF2B5EF4-FFF2-40B4-BE49-F238E27FC236}">
              <a16:creationId xmlns:a16="http://schemas.microsoft.com/office/drawing/2014/main" xmlns="" id="{00000000-0008-0000-0600-00001F010000}"/>
            </a:ext>
          </a:extLst>
        </xdr:cNvPr>
        <xdr:cNvCxnSpPr/>
      </xdr:nvCxnSpPr>
      <xdr:spPr>
        <a:xfrm>
          <a:off x="2025361" y="54536686"/>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854</xdr:row>
      <xdr:rowOff>295275</xdr:rowOff>
    </xdr:from>
    <xdr:to>
      <xdr:col>9</xdr:col>
      <xdr:colOff>71870</xdr:colOff>
      <xdr:row>854</xdr:row>
      <xdr:rowOff>295275</xdr:rowOff>
    </xdr:to>
    <xdr:cxnSp macro="">
      <xdr:nvCxnSpPr>
        <xdr:cNvPr id="288" name="Straight Arrow Connector 287">
          <a:extLst>
            <a:ext uri="{FF2B5EF4-FFF2-40B4-BE49-F238E27FC236}">
              <a16:creationId xmlns:a16="http://schemas.microsoft.com/office/drawing/2014/main" xmlns="" id="{00000000-0008-0000-0600-000020010000}"/>
            </a:ext>
          </a:extLst>
        </xdr:cNvPr>
        <xdr:cNvCxnSpPr/>
      </xdr:nvCxnSpPr>
      <xdr:spPr>
        <a:xfrm>
          <a:off x="1978479" y="53768625"/>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843</xdr:row>
      <xdr:rowOff>0</xdr:rowOff>
    </xdr:from>
    <xdr:to>
      <xdr:col>17</xdr:col>
      <xdr:colOff>231323</xdr:colOff>
      <xdr:row>843</xdr:row>
      <xdr:rowOff>352425</xdr:rowOff>
    </xdr:to>
    <xdr:cxnSp macro="">
      <xdr:nvCxnSpPr>
        <xdr:cNvPr id="289" name="Straight Arrow Connector 288">
          <a:extLst>
            <a:ext uri="{FF2B5EF4-FFF2-40B4-BE49-F238E27FC236}">
              <a16:creationId xmlns:a16="http://schemas.microsoft.com/office/drawing/2014/main" xmlns="" id="{00000000-0008-0000-0600-000021010000}"/>
            </a:ext>
          </a:extLst>
        </xdr:cNvPr>
        <xdr:cNvCxnSpPr/>
      </xdr:nvCxnSpPr>
      <xdr:spPr>
        <a:xfrm flipV="1">
          <a:off x="5400675" y="49444275"/>
          <a:ext cx="2723" cy="3238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852</xdr:row>
      <xdr:rowOff>0</xdr:rowOff>
    </xdr:from>
    <xdr:to>
      <xdr:col>17</xdr:col>
      <xdr:colOff>161925</xdr:colOff>
      <xdr:row>852</xdr:row>
      <xdr:rowOff>0</xdr:rowOff>
    </xdr:to>
    <xdr:cxnSp macro="">
      <xdr:nvCxnSpPr>
        <xdr:cNvPr id="290" name="Straight Connector 289">
          <a:extLst>
            <a:ext uri="{FF2B5EF4-FFF2-40B4-BE49-F238E27FC236}">
              <a16:creationId xmlns:a16="http://schemas.microsoft.com/office/drawing/2014/main" xmlns="" id="{00000000-0008-0000-0600-000022010000}"/>
            </a:ext>
          </a:extLst>
        </xdr:cNvPr>
        <xdr:cNvCxnSpPr/>
      </xdr:nvCxnSpPr>
      <xdr:spPr>
        <a:xfrm>
          <a:off x="4019550" y="52778025"/>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857</xdr:row>
      <xdr:rowOff>0</xdr:rowOff>
    </xdr:from>
    <xdr:to>
      <xdr:col>12</xdr:col>
      <xdr:colOff>200025</xdr:colOff>
      <xdr:row>857</xdr:row>
      <xdr:rowOff>361950</xdr:rowOff>
    </xdr:to>
    <xdr:cxnSp macro="">
      <xdr:nvCxnSpPr>
        <xdr:cNvPr id="291" name="Straight Arrow Connector 290">
          <a:extLst>
            <a:ext uri="{FF2B5EF4-FFF2-40B4-BE49-F238E27FC236}">
              <a16:creationId xmlns:a16="http://schemas.microsoft.com/office/drawing/2014/main" xmlns="" id="{00000000-0008-0000-0600-000023010000}"/>
            </a:ext>
          </a:extLst>
        </xdr:cNvPr>
        <xdr:cNvCxnSpPr/>
      </xdr:nvCxnSpPr>
      <xdr:spPr>
        <a:xfrm flipV="1">
          <a:off x="3362325" y="54749700"/>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xdr:colOff>
      <xdr:row>846</xdr:row>
      <xdr:rowOff>276227</xdr:rowOff>
    </xdr:from>
    <xdr:to>
      <xdr:col>17</xdr:col>
      <xdr:colOff>28575</xdr:colOff>
      <xdr:row>847</xdr:row>
      <xdr:rowOff>257175</xdr:rowOff>
    </xdr:to>
    <xdr:cxnSp macro="">
      <xdr:nvCxnSpPr>
        <xdr:cNvPr id="292" name="Straight Arrow Connector 291">
          <a:extLst>
            <a:ext uri="{FF2B5EF4-FFF2-40B4-BE49-F238E27FC236}">
              <a16:creationId xmlns:a16="http://schemas.microsoft.com/office/drawing/2014/main" xmlns="" id="{00000000-0008-0000-0600-000024010000}"/>
            </a:ext>
          </a:extLst>
        </xdr:cNvPr>
        <xdr:cNvCxnSpPr/>
      </xdr:nvCxnSpPr>
      <xdr:spPr>
        <a:xfrm flipH="1" flipV="1">
          <a:off x="5172077" y="50730152"/>
          <a:ext cx="28573" cy="51434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133350</xdr:colOff>
      <xdr:row>851</xdr:row>
      <xdr:rowOff>161925</xdr:rowOff>
    </xdr:from>
    <xdr:to>
      <xdr:col>10</xdr:col>
      <xdr:colOff>142875</xdr:colOff>
      <xdr:row>851</xdr:row>
      <xdr:rowOff>161925</xdr:rowOff>
    </xdr:to>
    <xdr:cxnSp macro="">
      <xdr:nvCxnSpPr>
        <xdr:cNvPr id="293" name="Straight Connector 292">
          <a:extLst>
            <a:ext uri="{FF2B5EF4-FFF2-40B4-BE49-F238E27FC236}">
              <a16:creationId xmlns:a16="http://schemas.microsoft.com/office/drawing/2014/main" xmlns="" id="{00000000-0008-0000-0600-000025010000}"/>
            </a:ext>
          </a:extLst>
        </xdr:cNvPr>
        <xdr:cNvCxnSpPr/>
      </xdr:nvCxnSpPr>
      <xdr:spPr>
        <a:xfrm flipH="1">
          <a:off x="2324100" y="52558950"/>
          <a:ext cx="371475"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845</xdr:row>
      <xdr:rowOff>28575</xdr:rowOff>
    </xdr:from>
    <xdr:to>
      <xdr:col>14</xdr:col>
      <xdr:colOff>38100</xdr:colOff>
      <xdr:row>845</xdr:row>
      <xdr:rowOff>276225</xdr:rowOff>
    </xdr:to>
    <xdr:cxnSp macro="">
      <xdr:nvCxnSpPr>
        <xdr:cNvPr id="294" name="Straight Arrow Connector 293">
          <a:extLst>
            <a:ext uri="{FF2B5EF4-FFF2-40B4-BE49-F238E27FC236}">
              <a16:creationId xmlns:a16="http://schemas.microsoft.com/office/drawing/2014/main" xmlns="" id="{00000000-0008-0000-0600-000026010000}"/>
            </a:ext>
          </a:extLst>
        </xdr:cNvPr>
        <xdr:cNvCxnSpPr/>
      </xdr:nvCxnSpPr>
      <xdr:spPr>
        <a:xfrm flipH="1" flipV="1">
          <a:off x="3714750" y="50177700"/>
          <a:ext cx="342900" cy="2476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845</xdr:row>
      <xdr:rowOff>115661</xdr:rowOff>
    </xdr:from>
    <xdr:to>
      <xdr:col>17</xdr:col>
      <xdr:colOff>210910</xdr:colOff>
      <xdr:row>847</xdr:row>
      <xdr:rowOff>209550</xdr:rowOff>
    </xdr:to>
    <xdr:cxnSp macro="">
      <xdr:nvCxnSpPr>
        <xdr:cNvPr id="295" name="Straight Arrow Connector 294">
          <a:extLst>
            <a:ext uri="{FF2B5EF4-FFF2-40B4-BE49-F238E27FC236}">
              <a16:creationId xmlns:a16="http://schemas.microsoft.com/office/drawing/2014/main" xmlns="" id="{00000000-0008-0000-0600-000027010000}"/>
            </a:ext>
          </a:extLst>
        </xdr:cNvPr>
        <xdr:cNvCxnSpPr/>
      </xdr:nvCxnSpPr>
      <xdr:spPr>
        <a:xfrm flipV="1">
          <a:off x="5372100" y="50264786"/>
          <a:ext cx="10885" cy="93208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75458</xdr:colOff>
      <xdr:row>848</xdr:row>
      <xdr:rowOff>204107</xdr:rowOff>
    </xdr:from>
    <xdr:to>
      <xdr:col>9</xdr:col>
      <xdr:colOff>57521</xdr:colOff>
      <xdr:row>848</xdr:row>
      <xdr:rowOff>204107</xdr:rowOff>
    </xdr:to>
    <xdr:cxnSp macro="">
      <xdr:nvCxnSpPr>
        <xdr:cNvPr id="296" name="Straight Arrow Connector 295">
          <a:extLst>
            <a:ext uri="{FF2B5EF4-FFF2-40B4-BE49-F238E27FC236}">
              <a16:creationId xmlns:a16="http://schemas.microsoft.com/office/drawing/2014/main" xmlns="" id="{00000000-0008-0000-0600-000028010000}"/>
            </a:ext>
          </a:extLst>
        </xdr:cNvPr>
        <xdr:cNvCxnSpPr/>
      </xdr:nvCxnSpPr>
      <xdr:spPr>
        <a:xfrm>
          <a:off x="1904258" y="51505757"/>
          <a:ext cx="52498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19051</xdr:colOff>
      <xdr:row>846</xdr:row>
      <xdr:rowOff>304800</xdr:rowOff>
    </xdr:from>
    <xdr:to>
      <xdr:col>17</xdr:col>
      <xdr:colOff>28575</xdr:colOff>
      <xdr:row>846</xdr:row>
      <xdr:rowOff>314325</xdr:rowOff>
    </xdr:to>
    <xdr:cxnSp macro="">
      <xdr:nvCxnSpPr>
        <xdr:cNvPr id="297" name="Straight Arrow Connector 296">
          <a:extLst>
            <a:ext uri="{FF2B5EF4-FFF2-40B4-BE49-F238E27FC236}">
              <a16:creationId xmlns:a16="http://schemas.microsoft.com/office/drawing/2014/main" xmlns="" id="{00000000-0008-0000-0600-000029010000}"/>
            </a:ext>
          </a:extLst>
        </xdr:cNvPr>
        <xdr:cNvCxnSpPr/>
      </xdr:nvCxnSpPr>
      <xdr:spPr>
        <a:xfrm flipH="1">
          <a:off x="4743451" y="50758725"/>
          <a:ext cx="457199" cy="952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183573</xdr:colOff>
      <xdr:row>829</xdr:row>
      <xdr:rowOff>61479</xdr:rowOff>
    </xdr:from>
    <xdr:to>
      <xdr:col>12</xdr:col>
      <xdr:colOff>183573</xdr:colOff>
      <xdr:row>829</xdr:row>
      <xdr:rowOff>347229</xdr:rowOff>
    </xdr:to>
    <xdr:cxnSp macro="">
      <xdr:nvCxnSpPr>
        <xdr:cNvPr id="298" name="Straight Arrow Connector 297">
          <a:extLst>
            <a:ext uri="{FF2B5EF4-FFF2-40B4-BE49-F238E27FC236}">
              <a16:creationId xmlns:a16="http://schemas.microsoft.com/office/drawing/2014/main" xmlns="" id="{00000000-0008-0000-0600-00002A010000}"/>
            </a:ext>
          </a:extLst>
        </xdr:cNvPr>
        <xdr:cNvCxnSpPr/>
      </xdr:nvCxnSpPr>
      <xdr:spPr>
        <a:xfrm flipV="1">
          <a:off x="3345873" y="44590854"/>
          <a:ext cx="0"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171450</xdr:colOff>
      <xdr:row>826</xdr:row>
      <xdr:rowOff>363312</xdr:rowOff>
    </xdr:from>
    <xdr:to>
      <xdr:col>12</xdr:col>
      <xdr:colOff>191860</xdr:colOff>
      <xdr:row>828</xdr:row>
      <xdr:rowOff>9525</xdr:rowOff>
    </xdr:to>
    <xdr:cxnSp macro="">
      <xdr:nvCxnSpPr>
        <xdr:cNvPr id="299" name="Straight Arrow Connector 298">
          <a:extLst>
            <a:ext uri="{FF2B5EF4-FFF2-40B4-BE49-F238E27FC236}">
              <a16:creationId xmlns:a16="http://schemas.microsoft.com/office/drawing/2014/main" xmlns="" id="{00000000-0008-0000-0600-00002B010000}"/>
            </a:ext>
          </a:extLst>
        </xdr:cNvPr>
        <xdr:cNvCxnSpPr/>
      </xdr:nvCxnSpPr>
      <xdr:spPr>
        <a:xfrm flipV="1">
          <a:off x="3333750" y="43683012"/>
          <a:ext cx="20410" cy="341538"/>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823</xdr:row>
      <xdr:rowOff>28575</xdr:rowOff>
    </xdr:from>
    <xdr:to>
      <xdr:col>17</xdr:col>
      <xdr:colOff>161925</xdr:colOff>
      <xdr:row>826</xdr:row>
      <xdr:rowOff>9526</xdr:rowOff>
    </xdr:to>
    <xdr:cxnSp macro="">
      <xdr:nvCxnSpPr>
        <xdr:cNvPr id="300" name="Straight Arrow Connector 299">
          <a:extLst>
            <a:ext uri="{FF2B5EF4-FFF2-40B4-BE49-F238E27FC236}">
              <a16:creationId xmlns:a16="http://schemas.microsoft.com/office/drawing/2014/main" xmlns="" id="{00000000-0008-0000-0600-00002C010000}"/>
            </a:ext>
          </a:extLst>
        </xdr:cNvPr>
        <xdr:cNvCxnSpPr/>
      </xdr:nvCxnSpPr>
      <xdr:spPr>
        <a:xfrm flipV="1">
          <a:off x="5334000" y="42338625"/>
          <a:ext cx="0" cy="99060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821</xdr:row>
      <xdr:rowOff>6804</xdr:rowOff>
    </xdr:from>
    <xdr:to>
      <xdr:col>9</xdr:col>
      <xdr:colOff>13978</xdr:colOff>
      <xdr:row>825</xdr:row>
      <xdr:rowOff>161925</xdr:rowOff>
    </xdr:to>
    <xdr:cxnSp macro="">
      <xdr:nvCxnSpPr>
        <xdr:cNvPr id="301" name="Straight Arrow Connector 300">
          <a:extLst>
            <a:ext uri="{FF2B5EF4-FFF2-40B4-BE49-F238E27FC236}">
              <a16:creationId xmlns:a16="http://schemas.microsoft.com/office/drawing/2014/main" xmlns="" id="{00000000-0008-0000-0600-00002D010000}"/>
            </a:ext>
          </a:extLst>
        </xdr:cNvPr>
        <xdr:cNvCxnSpPr/>
      </xdr:nvCxnSpPr>
      <xdr:spPr>
        <a:xfrm flipV="1">
          <a:off x="2371725" y="41535804"/>
          <a:ext cx="13978" cy="15648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819</xdr:row>
      <xdr:rowOff>28575</xdr:rowOff>
    </xdr:from>
    <xdr:to>
      <xdr:col>12</xdr:col>
      <xdr:colOff>141886</xdr:colOff>
      <xdr:row>819</xdr:row>
      <xdr:rowOff>276225</xdr:rowOff>
    </xdr:to>
    <xdr:cxnSp macro="">
      <xdr:nvCxnSpPr>
        <xdr:cNvPr id="302" name="Straight Arrow Connector 301">
          <a:extLst>
            <a:ext uri="{FF2B5EF4-FFF2-40B4-BE49-F238E27FC236}">
              <a16:creationId xmlns:a16="http://schemas.microsoft.com/office/drawing/2014/main" xmlns="" id="{00000000-0008-0000-0600-00002E010000}"/>
            </a:ext>
          </a:extLst>
        </xdr:cNvPr>
        <xdr:cNvCxnSpPr/>
      </xdr:nvCxnSpPr>
      <xdr:spPr>
        <a:xfrm flipV="1">
          <a:off x="2819400" y="40719375"/>
          <a:ext cx="484786" cy="2476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131618</xdr:colOff>
      <xdr:row>816</xdr:row>
      <xdr:rowOff>378278</xdr:rowOff>
    </xdr:from>
    <xdr:to>
      <xdr:col>12</xdr:col>
      <xdr:colOff>131618</xdr:colOff>
      <xdr:row>817</xdr:row>
      <xdr:rowOff>330652</xdr:rowOff>
    </xdr:to>
    <xdr:cxnSp macro="">
      <xdr:nvCxnSpPr>
        <xdr:cNvPr id="303" name="Straight Arrow Connector 302">
          <a:extLst>
            <a:ext uri="{FF2B5EF4-FFF2-40B4-BE49-F238E27FC236}">
              <a16:creationId xmlns:a16="http://schemas.microsoft.com/office/drawing/2014/main" xmlns="" id="{00000000-0008-0000-0600-00002F010000}"/>
            </a:ext>
          </a:extLst>
        </xdr:cNvPr>
        <xdr:cNvCxnSpPr/>
      </xdr:nvCxnSpPr>
      <xdr:spPr>
        <a:xfrm flipV="1">
          <a:off x="3293918" y="39983228"/>
          <a:ext cx="0" cy="3238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96982</xdr:colOff>
      <xdr:row>816</xdr:row>
      <xdr:rowOff>112568</xdr:rowOff>
    </xdr:from>
    <xdr:to>
      <xdr:col>9</xdr:col>
      <xdr:colOff>361084</xdr:colOff>
      <xdr:row>816</xdr:row>
      <xdr:rowOff>112568</xdr:rowOff>
    </xdr:to>
    <xdr:cxnSp macro="">
      <xdr:nvCxnSpPr>
        <xdr:cNvPr id="304" name="Straight Arrow Connector 303">
          <a:extLst>
            <a:ext uri="{FF2B5EF4-FFF2-40B4-BE49-F238E27FC236}">
              <a16:creationId xmlns:a16="http://schemas.microsoft.com/office/drawing/2014/main" xmlns="" id="{00000000-0008-0000-0600-000030010000}"/>
            </a:ext>
          </a:extLst>
        </xdr:cNvPr>
        <xdr:cNvCxnSpPr/>
      </xdr:nvCxnSpPr>
      <xdr:spPr>
        <a:xfrm>
          <a:off x="2106757" y="39717518"/>
          <a:ext cx="4450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60613</xdr:colOff>
      <xdr:row>818</xdr:row>
      <xdr:rowOff>114300</xdr:rowOff>
    </xdr:from>
    <xdr:to>
      <xdr:col>9</xdr:col>
      <xdr:colOff>343765</xdr:colOff>
      <xdr:row>818</xdr:row>
      <xdr:rowOff>114300</xdr:rowOff>
    </xdr:to>
    <xdr:cxnSp macro="">
      <xdr:nvCxnSpPr>
        <xdr:cNvPr id="305" name="Straight Arrow Connector 304">
          <a:extLst>
            <a:ext uri="{FF2B5EF4-FFF2-40B4-BE49-F238E27FC236}">
              <a16:creationId xmlns:a16="http://schemas.microsoft.com/office/drawing/2014/main" xmlns="" id="{00000000-0008-0000-0600-000031010000}"/>
            </a:ext>
          </a:extLst>
        </xdr:cNvPr>
        <xdr:cNvCxnSpPr/>
      </xdr:nvCxnSpPr>
      <xdr:spPr>
        <a:xfrm>
          <a:off x="2070388" y="40424100"/>
          <a:ext cx="483177"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15586</xdr:colOff>
      <xdr:row>820</xdr:row>
      <xdr:rowOff>204354</xdr:rowOff>
    </xdr:from>
    <xdr:to>
      <xdr:col>7</xdr:col>
      <xdr:colOff>142875</xdr:colOff>
      <xdr:row>820</xdr:row>
      <xdr:rowOff>209550</xdr:rowOff>
    </xdr:to>
    <xdr:cxnSp macro="">
      <xdr:nvCxnSpPr>
        <xdr:cNvPr id="306" name="Straight Arrow Connector 305">
          <a:extLst>
            <a:ext uri="{FF2B5EF4-FFF2-40B4-BE49-F238E27FC236}">
              <a16:creationId xmlns:a16="http://schemas.microsoft.com/office/drawing/2014/main" xmlns="" id="{00000000-0008-0000-0600-000032010000}"/>
            </a:ext>
          </a:extLst>
        </xdr:cNvPr>
        <xdr:cNvCxnSpPr/>
      </xdr:nvCxnSpPr>
      <xdr:spPr>
        <a:xfrm>
          <a:off x="1844386" y="41199954"/>
          <a:ext cx="308264" cy="519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109105</xdr:colOff>
      <xdr:row>826</xdr:row>
      <xdr:rowOff>14473</xdr:rowOff>
    </xdr:from>
    <xdr:to>
      <xdr:col>9</xdr:col>
      <xdr:colOff>108858</xdr:colOff>
      <xdr:row>826</xdr:row>
      <xdr:rowOff>14473</xdr:rowOff>
    </xdr:to>
    <xdr:cxnSp macro="">
      <xdr:nvCxnSpPr>
        <xdr:cNvPr id="307" name="Straight Arrow Connector 306">
          <a:extLst>
            <a:ext uri="{FF2B5EF4-FFF2-40B4-BE49-F238E27FC236}">
              <a16:creationId xmlns:a16="http://schemas.microsoft.com/office/drawing/2014/main" xmlns="" id="{00000000-0008-0000-0600-000033010000}"/>
            </a:ext>
          </a:extLst>
        </xdr:cNvPr>
        <xdr:cNvCxnSpPr/>
      </xdr:nvCxnSpPr>
      <xdr:spPr>
        <a:xfrm>
          <a:off x="1937905" y="43334173"/>
          <a:ext cx="54267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xdr:colOff>
      <xdr:row>830</xdr:row>
      <xdr:rowOff>167986</xdr:rowOff>
    </xdr:from>
    <xdr:to>
      <xdr:col>9</xdr:col>
      <xdr:colOff>96981</xdr:colOff>
      <xdr:row>830</xdr:row>
      <xdr:rowOff>167986</xdr:rowOff>
    </xdr:to>
    <xdr:cxnSp macro="">
      <xdr:nvCxnSpPr>
        <xdr:cNvPr id="308" name="Straight Arrow Connector 307">
          <a:extLst>
            <a:ext uri="{FF2B5EF4-FFF2-40B4-BE49-F238E27FC236}">
              <a16:creationId xmlns:a16="http://schemas.microsoft.com/office/drawing/2014/main" xmlns="" id="{00000000-0008-0000-0600-000034010000}"/>
            </a:ext>
          </a:extLst>
        </xdr:cNvPr>
        <xdr:cNvCxnSpPr/>
      </xdr:nvCxnSpPr>
      <xdr:spPr>
        <a:xfrm>
          <a:off x="2025361" y="45078361"/>
          <a:ext cx="44334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149679</xdr:colOff>
      <xdr:row>828</xdr:row>
      <xdr:rowOff>295275</xdr:rowOff>
    </xdr:from>
    <xdr:to>
      <xdr:col>9</xdr:col>
      <xdr:colOff>71870</xdr:colOff>
      <xdr:row>828</xdr:row>
      <xdr:rowOff>295275</xdr:rowOff>
    </xdr:to>
    <xdr:cxnSp macro="">
      <xdr:nvCxnSpPr>
        <xdr:cNvPr id="309" name="Straight Arrow Connector 308">
          <a:extLst>
            <a:ext uri="{FF2B5EF4-FFF2-40B4-BE49-F238E27FC236}">
              <a16:creationId xmlns:a16="http://schemas.microsoft.com/office/drawing/2014/main" xmlns="" id="{00000000-0008-0000-0600-000035010000}"/>
            </a:ext>
          </a:extLst>
        </xdr:cNvPr>
        <xdr:cNvCxnSpPr/>
      </xdr:nvCxnSpPr>
      <xdr:spPr>
        <a:xfrm>
          <a:off x="1978479" y="44310300"/>
          <a:ext cx="465116"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228600</xdr:colOff>
      <xdr:row>817</xdr:row>
      <xdr:rowOff>0</xdr:rowOff>
    </xdr:from>
    <xdr:to>
      <xdr:col>17</xdr:col>
      <xdr:colOff>231323</xdr:colOff>
      <xdr:row>817</xdr:row>
      <xdr:rowOff>352425</xdr:rowOff>
    </xdr:to>
    <xdr:cxnSp macro="">
      <xdr:nvCxnSpPr>
        <xdr:cNvPr id="310" name="Straight Arrow Connector 309">
          <a:extLst>
            <a:ext uri="{FF2B5EF4-FFF2-40B4-BE49-F238E27FC236}">
              <a16:creationId xmlns:a16="http://schemas.microsoft.com/office/drawing/2014/main" xmlns="" id="{00000000-0008-0000-0600-000036010000}"/>
            </a:ext>
          </a:extLst>
        </xdr:cNvPr>
        <xdr:cNvCxnSpPr/>
      </xdr:nvCxnSpPr>
      <xdr:spPr>
        <a:xfrm flipV="1">
          <a:off x="5400675" y="39985950"/>
          <a:ext cx="2723" cy="3238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826</xdr:row>
      <xdr:rowOff>0</xdr:rowOff>
    </xdr:from>
    <xdr:to>
      <xdr:col>17</xdr:col>
      <xdr:colOff>161925</xdr:colOff>
      <xdr:row>826</xdr:row>
      <xdr:rowOff>0</xdr:rowOff>
    </xdr:to>
    <xdr:cxnSp macro="">
      <xdr:nvCxnSpPr>
        <xdr:cNvPr id="311" name="Straight Connector 310">
          <a:extLst>
            <a:ext uri="{FF2B5EF4-FFF2-40B4-BE49-F238E27FC236}">
              <a16:creationId xmlns:a16="http://schemas.microsoft.com/office/drawing/2014/main" xmlns="" id="{00000000-0008-0000-0600-000037010000}"/>
            </a:ext>
          </a:extLst>
        </xdr:cNvPr>
        <xdr:cNvCxnSpPr/>
      </xdr:nvCxnSpPr>
      <xdr:spPr>
        <a:xfrm>
          <a:off x="4019550" y="43319700"/>
          <a:ext cx="1314450"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200025</xdr:colOff>
      <xdr:row>831</xdr:row>
      <xdr:rowOff>0</xdr:rowOff>
    </xdr:from>
    <xdr:to>
      <xdr:col>12</xdr:col>
      <xdr:colOff>200025</xdr:colOff>
      <xdr:row>831</xdr:row>
      <xdr:rowOff>361950</xdr:rowOff>
    </xdr:to>
    <xdr:cxnSp macro="">
      <xdr:nvCxnSpPr>
        <xdr:cNvPr id="312" name="Straight Arrow Connector 311">
          <a:extLst>
            <a:ext uri="{FF2B5EF4-FFF2-40B4-BE49-F238E27FC236}">
              <a16:creationId xmlns:a16="http://schemas.microsoft.com/office/drawing/2014/main" xmlns="" id="{00000000-0008-0000-0600-000038010000}"/>
            </a:ext>
          </a:extLst>
        </xdr:cNvPr>
        <xdr:cNvCxnSpPr/>
      </xdr:nvCxnSpPr>
      <xdr:spPr>
        <a:xfrm flipV="1">
          <a:off x="3362325" y="45291375"/>
          <a:ext cx="0" cy="3619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xdr:colOff>
      <xdr:row>820</xdr:row>
      <xdr:rowOff>276227</xdr:rowOff>
    </xdr:from>
    <xdr:to>
      <xdr:col>17</xdr:col>
      <xdr:colOff>28575</xdr:colOff>
      <xdr:row>821</xdr:row>
      <xdr:rowOff>257175</xdr:rowOff>
    </xdr:to>
    <xdr:cxnSp macro="">
      <xdr:nvCxnSpPr>
        <xdr:cNvPr id="313" name="Straight Arrow Connector 312">
          <a:extLst>
            <a:ext uri="{FF2B5EF4-FFF2-40B4-BE49-F238E27FC236}">
              <a16:creationId xmlns:a16="http://schemas.microsoft.com/office/drawing/2014/main" xmlns="" id="{00000000-0008-0000-0600-000039010000}"/>
            </a:ext>
          </a:extLst>
        </xdr:cNvPr>
        <xdr:cNvCxnSpPr/>
      </xdr:nvCxnSpPr>
      <xdr:spPr>
        <a:xfrm flipH="1" flipV="1">
          <a:off x="5172077" y="41271827"/>
          <a:ext cx="28573" cy="514348"/>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133350</xdr:colOff>
      <xdr:row>825</xdr:row>
      <xdr:rowOff>161925</xdr:rowOff>
    </xdr:from>
    <xdr:to>
      <xdr:col>10</xdr:col>
      <xdr:colOff>142875</xdr:colOff>
      <xdr:row>825</xdr:row>
      <xdr:rowOff>161925</xdr:rowOff>
    </xdr:to>
    <xdr:cxnSp macro="">
      <xdr:nvCxnSpPr>
        <xdr:cNvPr id="314" name="Straight Connector 313">
          <a:extLst>
            <a:ext uri="{FF2B5EF4-FFF2-40B4-BE49-F238E27FC236}">
              <a16:creationId xmlns:a16="http://schemas.microsoft.com/office/drawing/2014/main" xmlns="" id="{00000000-0008-0000-0600-00003A010000}"/>
            </a:ext>
          </a:extLst>
        </xdr:cNvPr>
        <xdr:cNvCxnSpPr/>
      </xdr:nvCxnSpPr>
      <xdr:spPr>
        <a:xfrm flipH="1">
          <a:off x="2324100" y="43100625"/>
          <a:ext cx="371475" cy="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123825</xdr:colOff>
      <xdr:row>819</xdr:row>
      <xdr:rowOff>28575</xdr:rowOff>
    </xdr:from>
    <xdr:to>
      <xdr:col>14</xdr:col>
      <xdr:colOff>38100</xdr:colOff>
      <xdr:row>819</xdr:row>
      <xdr:rowOff>276225</xdr:rowOff>
    </xdr:to>
    <xdr:cxnSp macro="">
      <xdr:nvCxnSpPr>
        <xdr:cNvPr id="315" name="Straight Arrow Connector 314">
          <a:extLst>
            <a:ext uri="{FF2B5EF4-FFF2-40B4-BE49-F238E27FC236}">
              <a16:creationId xmlns:a16="http://schemas.microsoft.com/office/drawing/2014/main" xmlns="" id="{00000000-0008-0000-0600-00003B010000}"/>
            </a:ext>
          </a:extLst>
        </xdr:cNvPr>
        <xdr:cNvCxnSpPr/>
      </xdr:nvCxnSpPr>
      <xdr:spPr>
        <a:xfrm flipH="1" flipV="1">
          <a:off x="3714750" y="40719375"/>
          <a:ext cx="342900" cy="24765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200025</xdr:colOff>
      <xdr:row>819</xdr:row>
      <xdr:rowOff>115661</xdr:rowOff>
    </xdr:from>
    <xdr:to>
      <xdr:col>17</xdr:col>
      <xdr:colOff>210910</xdr:colOff>
      <xdr:row>821</xdr:row>
      <xdr:rowOff>209550</xdr:rowOff>
    </xdr:to>
    <xdr:cxnSp macro="">
      <xdr:nvCxnSpPr>
        <xdr:cNvPr id="316" name="Straight Arrow Connector 315">
          <a:extLst>
            <a:ext uri="{FF2B5EF4-FFF2-40B4-BE49-F238E27FC236}">
              <a16:creationId xmlns:a16="http://schemas.microsoft.com/office/drawing/2014/main" xmlns="" id="{00000000-0008-0000-0600-00003C010000}"/>
            </a:ext>
          </a:extLst>
        </xdr:cNvPr>
        <xdr:cNvCxnSpPr/>
      </xdr:nvCxnSpPr>
      <xdr:spPr>
        <a:xfrm flipV="1">
          <a:off x="5372100" y="40806461"/>
          <a:ext cx="10885" cy="93208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75458</xdr:colOff>
      <xdr:row>822</xdr:row>
      <xdr:rowOff>204107</xdr:rowOff>
    </xdr:from>
    <xdr:to>
      <xdr:col>9</xdr:col>
      <xdr:colOff>57521</xdr:colOff>
      <xdr:row>822</xdr:row>
      <xdr:rowOff>204107</xdr:rowOff>
    </xdr:to>
    <xdr:cxnSp macro="">
      <xdr:nvCxnSpPr>
        <xdr:cNvPr id="317" name="Straight Arrow Connector 316">
          <a:extLst>
            <a:ext uri="{FF2B5EF4-FFF2-40B4-BE49-F238E27FC236}">
              <a16:creationId xmlns:a16="http://schemas.microsoft.com/office/drawing/2014/main" xmlns="" id="{00000000-0008-0000-0600-00003D010000}"/>
            </a:ext>
          </a:extLst>
        </xdr:cNvPr>
        <xdr:cNvCxnSpPr/>
      </xdr:nvCxnSpPr>
      <xdr:spPr>
        <a:xfrm>
          <a:off x="1904258" y="42047432"/>
          <a:ext cx="524988"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19051</xdr:colOff>
      <xdr:row>820</xdr:row>
      <xdr:rowOff>304800</xdr:rowOff>
    </xdr:from>
    <xdr:to>
      <xdr:col>17</xdr:col>
      <xdr:colOff>28575</xdr:colOff>
      <xdr:row>820</xdr:row>
      <xdr:rowOff>314325</xdr:rowOff>
    </xdr:to>
    <xdr:cxnSp macro="">
      <xdr:nvCxnSpPr>
        <xdr:cNvPr id="318" name="Straight Arrow Connector 317">
          <a:extLst>
            <a:ext uri="{FF2B5EF4-FFF2-40B4-BE49-F238E27FC236}">
              <a16:creationId xmlns:a16="http://schemas.microsoft.com/office/drawing/2014/main" xmlns="" id="{00000000-0008-0000-0600-00003E010000}"/>
            </a:ext>
          </a:extLst>
        </xdr:cNvPr>
        <xdr:cNvCxnSpPr/>
      </xdr:nvCxnSpPr>
      <xdr:spPr>
        <a:xfrm flipH="1">
          <a:off x="4743451" y="41300400"/>
          <a:ext cx="457199" cy="952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3</xdr:col>
      <xdr:colOff>713291</xdr:colOff>
      <xdr:row>460</xdr:row>
      <xdr:rowOff>86590</xdr:rowOff>
    </xdr:from>
    <xdr:ext cx="4324014" cy="2405061"/>
    <xdr:pic>
      <xdr:nvPicPr>
        <xdr:cNvPr id="9" name="Picture 8">
          <a:extLst>
            <a:ext uri="{FF2B5EF4-FFF2-40B4-BE49-F238E27FC236}">
              <a16:creationId xmlns:a16="http://schemas.microsoft.com/office/drawing/2014/main" xmlns="" id="{00000000-0008-0000-0B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1537" y="97328181"/>
          <a:ext cx="4324014" cy="2405061"/>
        </a:xfrm>
        <a:prstGeom prst="rect">
          <a:avLst/>
        </a:prstGeom>
      </xdr:spPr>
    </xdr:pic>
    <xdr:clientData/>
  </xdr:oneCellAnchor>
  <xdr:oneCellAnchor>
    <xdr:from>
      <xdr:col>3</xdr:col>
      <xdr:colOff>765244</xdr:colOff>
      <xdr:row>523</xdr:row>
      <xdr:rowOff>69273</xdr:rowOff>
    </xdr:from>
    <xdr:ext cx="4324014" cy="2405061"/>
    <xdr:pic>
      <xdr:nvPicPr>
        <xdr:cNvPr id="10" name="Picture 9">
          <a:extLst>
            <a:ext uri="{FF2B5EF4-FFF2-40B4-BE49-F238E27FC236}">
              <a16:creationId xmlns:a16="http://schemas.microsoft.com/office/drawing/2014/main" xmlns="" id="{00000000-0008-0000-0B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5444" y="110541955"/>
          <a:ext cx="4324014" cy="2405061"/>
        </a:xfrm>
        <a:prstGeom prst="rect">
          <a:avLst/>
        </a:prstGeom>
      </xdr:spPr>
    </xdr:pic>
    <xdr:clientData/>
  </xdr:oneCellAnchor>
  <xdr:oneCellAnchor>
    <xdr:from>
      <xdr:col>3</xdr:col>
      <xdr:colOff>721950</xdr:colOff>
      <xdr:row>712</xdr:row>
      <xdr:rowOff>121227</xdr:rowOff>
    </xdr:from>
    <xdr:ext cx="4324014" cy="2405061"/>
    <xdr:pic>
      <xdr:nvPicPr>
        <xdr:cNvPr id="13" name="Picture 12">
          <a:extLst>
            <a:ext uri="{FF2B5EF4-FFF2-40B4-BE49-F238E27FC236}">
              <a16:creationId xmlns:a16="http://schemas.microsoft.com/office/drawing/2014/main" xmlns="" id="{00000000-0008-0000-0B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8855" y="137056091"/>
          <a:ext cx="4324014" cy="2405061"/>
        </a:xfrm>
        <a:prstGeom prst="rect">
          <a:avLst/>
        </a:prstGeom>
      </xdr:spPr>
    </xdr:pic>
    <xdr:clientData/>
  </xdr:oneCellAnchor>
  <xdr:oneCellAnchor>
    <xdr:from>
      <xdr:col>3</xdr:col>
      <xdr:colOff>843177</xdr:colOff>
      <xdr:row>775</xdr:row>
      <xdr:rowOff>0</xdr:rowOff>
    </xdr:from>
    <xdr:ext cx="4324014" cy="2405061"/>
    <xdr:pic>
      <xdr:nvPicPr>
        <xdr:cNvPr id="14" name="Picture 13">
          <a:extLst>
            <a:ext uri="{FF2B5EF4-FFF2-40B4-BE49-F238E27FC236}">
              <a16:creationId xmlns:a16="http://schemas.microsoft.com/office/drawing/2014/main" xmlns="" id="{00000000-0008-0000-0B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81309" y="163397045"/>
          <a:ext cx="4324014" cy="2405061"/>
        </a:xfrm>
        <a:prstGeom prst="rect">
          <a:avLst/>
        </a:prstGeom>
      </xdr:spPr>
    </xdr:pic>
    <xdr:clientData/>
  </xdr:oneCellAnchor>
  <xdr:twoCellAnchor editAs="oneCell">
    <xdr:from>
      <xdr:col>3</xdr:col>
      <xdr:colOff>1134340</xdr:colOff>
      <xdr:row>1092</xdr:row>
      <xdr:rowOff>34636</xdr:rowOff>
    </xdr:from>
    <xdr:to>
      <xdr:col>4</xdr:col>
      <xdr:colOff>615349</xdr:colOff>
      <xdr:row>1100</xdr:row>
      <xdr:rowOff>185651</xdr:rowOff>
    </xdr:to>
    <xdr:pic>
      <xdr:nvPicPr>
        <xdr:cNvPr id="19" name="Picture 18">
          <a:extLst>
            <a:ext uri="{FF2B5EF4-FFF2-40B4-BE49-F238E27FC236}">
              <a16:creationId xmlns:a16="http://schemas.microsoft.com/office/drawing/2014/main" xmlns="" id="{00000000-0008-0000-0B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636" y="230020091"/>
          <a:ext cx="2633472" cy="1813560"/>
        </a:xfrm>
        <a:prstGeom prst="rect">
          <a:avLst/>
        </a:prstGeom>
      </xdr:spPr>
    </xdr:pic>
    <xdr:clientData/>
  </xdr:twoCellAnchor>
  <xdr:twoCellAnchor editAs="oneCell">
    <xdr:from>
      <xdr:col>3</xdr:col>
      <xdr:colOff>961157</xdr:colOff>
      <xdr:row>648</xdr:row>
      <xdr:rowOff>156870</xdr:rowOff>
    </xdr:from>
    <xdr:to>
      <xdr:col>4</xdr:col>
      <xdr:colOff>944392</xdr:colOff>
      <xdr:row>660</xdr:row>
      <xdr:rowOff>168334</xdr:rowOff>
    </xdr:to>
    <xdr:pic>
      <xdr:nvPicPr>
        <xdr:cNvPr id="20" name="Picture 19">
          <a:extLst>
            <a:ext uri="{FF2B5EF4-FFF2-40B4-BE49-F238E27FC236}">
              <a16:creationId xmlns:a16="http://schemas.microsoft.com/office/drawing/2014/main" xmlns="" id="{00000000-0008-0000-0B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17269" y="137161006"/>
          <a:ext cx="3637924" cy="2505283"/>
        </a:xfrm>
        <a:prstGeom prst="rect">
          <a:avLst/>
        </a:prstGeom>
      </xdr:spPr>
    </xdr:pic>
    <xdr:clientData/>
  </xdr:twoCellAnchor>
  <xdr:twoCellAnchor editAs="oneCell">
    <xdr:from>
      <xdr:col>3</xdr:col>
      <xdr:colOff>1134340</xdr:colOff>
      <xdr:row>1156</xdr:row>
      <xdr:rowOff>34636</xdr:rowOff>
    </xdr:from>
    <xdr:to>
      <xdr:col>4</xdr:col>
      <xdr:colOff>615349</xdr:colOff>
      <xdr:row>1164</xdr:row>
      <xdr:rowOff>185651</xdr:rowOff>
    </xdr:to>
    <xdr:pic>
      <xdr:nvPicPr>
        <xdr:cNvPr id="21" name="Picture 20">
          <a:extLst>
            <a:ext uri="{FF2B5EF4-FFF2-40B4-BE49-F238E27FC236}">
              <a16:creationId xmlns:a16="http://schemas.microsoft.com/office/drawing/2014/main" xmlns="" id="{00000000-0008-0000-0B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635" y="230020091"/>
          <a:ext cx="2633472" cy="1813560"/>
        </a:xfrm>
        <a:prstGeom prst="rect">
          <a:avLst/>
        </a:prstGeom>
      </xdr:spPr>
    </xdr:pic>
    <xdr:clientData/>
  </xdr:twoCellAnchor>
  <xdr:twoCellAnchor editAs="oneCell">
    <xdr:from>
      <xdr:col>3</xdr:col>
      <xdr:colOff>1134340</xdr:colOff>
      <xdr:row>1219</xdr:row>
      <xdr:rowOff>34636</xdr:rowOff>
    </xdr:from>
    <xdr:to>
      <xdr:col>4</xdr:col>
      <xdr:colOff>615349</xdr:colOff>
      <xdr:row>1227</xdr:row>
      <xdr:rowOff>185651</xdr:rowOff>
    </xdr:to>
    <xdr:pic>
      <xdr:nvPicPr>
        <xdr:cNvPr id="22" name="Picture 21">
          <a:extLst>
            <a:ext uri="{FF2B5EF4-FFF2-40B4-BE49-F238E27FC236}">
              <a16:creationId xmlns:a16="http://schemas.microsoft.com/office/drawing/2014/main" xmlns="" id="{00000000-0008-0000-0B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635" y="243459000"/>
          <a:ext cx="2633472" cy="1813560"/>
        </a:xfrm>
        <a:prstGeom prst="rect">
          <a:avLst/>
        </a:prstGeom>
      </xdr:spPr>
    </xdr:pic>
    <xdr:clientData/>
  </xdr:twoCellAnchor>
  <xdr:twoCellAnchor editAs="oneCell">
    <xdr:from>
      <xdr:col>3</xdr:col>
      <xdr:colOff>1151658</xdr:colOff>
      <xdr:row>1285</xdr:row>
      <xdr:rowOff>51954</xdr:rowOff>
    </xdr:from>
    <xdr:to>
      <xdr:col>4</xdr:col>
      <xdr:colOff>632667</xdr:colOff>
      <xdr:row>1293</xdr:row>
      <xdr:rowOff>202969</xdr:rowOff>
    </xdr:to>
    <xdr:pic>
      <xdr:nvPicPr>
        <xdr:cNvPr id="23" name="Picture 22">
          <a:extLst>
            <a:ext uri="{FF2B5EF4-FFF2-40B4-BE49-F238E27FC236}">
              <a16:creationId xmlns:a16="http://schemas.microsoft.com/office/drawing/2014/main" xmlns="" id="{00000000-0008-0000-0B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8272" y="270561954"/>
          <a:ext cx="2633472" cy="1813560"/>
        </a:xfrm>
        <a:prstGeom prst="rect">
          <a:avLst/>
        </a:prstGeom>
      </xdr:spPr>
    </xdr:pic>
    <xdr:clientData/>
  </xdr:twoCellAnchor>
  <xdr:twoCellAnchor editAs="oneCell">
    <xdr:from>
      <xdr:col>3</xdr:col>
      <xdr:colOff>1099703</xdr:colOff>
      <xdr:row>1347</xdr:row>
      <xdr:rowOff>34635</xdr:rowOff>
    </xdr:from>
    <xdr:to>
      <xdr:col>4</xdr:col>
      <xdr:colOff>580712</xdr:colOff>
      <xdr:row>1355</xdr:row>
      <xdr:rowOff>185650</xdr:rowOff>
    </xdr:to>
    <xdr:pic>
      <xdr:nvPicPr>
        <xdr:cNvPr id="24" name="Picture 23">
          <a:extLst>
            <a:ext uri="{FF2B5EF4-FFF2-40B4-BE49-F238E27FC236}">
              <a16:creationId xmlns:a16="http://schemas.microsoft.com/office/drawing/2014/main" xmlns="" id="{00000000-0008-0000-0B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4361" y="283567908"/>
          <a:ext cx="2633472" cy="1813560"/>
        </a:xfrm>
        <a:prstGeom prst="rect">
          <a:avLst/>
        </a:prstGeom>
      </xdr:spPr>
    </xdr:pic>
    <xdr:clientData/>
  </xdr:twoCellAnchor>
  <xdr:twoCellAnchor editAs="oneCell">
    <xdr:from>
      <xdr:col>3</xdr:col>
      <xdr:colOff>978473</xdr:colOff>
      <xdr:row>587</xdr:row>
      <xdr:rowOff>155864</xdr:rowOff>
    </xdr:from>
    <xdr:to>
      <xdr:col>4</xdr:col>
      <xdr:colOff>459481</xdr:colOff>
      <xdr:row>596</xdr:row>
      <xdr:rowOff>99061</xdr:rowOff>
    </xdr:to>
    <xdr:pic>
      <xdr:nvPicPr>
        <xdr:cNvPr id="25" name="Picture 24">
          <a:extLst>
            <a:ext uri="{FF2B5EF4-FFF2-40B4-BE49-F238E27FC236}">
              <a16:creationId xmlns:a16="http://schemas.microsoft.com/office/drawing/2014/main" xmlns="" id="{00000000-0008-0000-0B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51902" y="124344546"/>
          <a:ext cx="2633470" cy="1813560"/>
        </a:xfrm>
        <a:prstGeom prst="rect">
          <a:avLst/>
        </a:prstGeom>
      </xdr:spPr>
    </xdr:pic>
    <xdr:clientData/>
  </xdr:twoCellAnchor>
  <xdr:twoCellAnchor editAs="oneCell">
    <xdr:from>
      <xdr:col>3</xdr:col>
      <xdr:colOff>1151658</xdr:colOff>
      <xdr:row>1409</xdr:row>
      <xdr:rowOff>51954</xdr:rowOff>
    </xdr:from>
    <xdr:to>
      <xdr:col>4</xdr:col>
      <xdr:colOff>632667</xdr:colOff>
      <xdr:row>1417</xdr:row>
      <xdr:rowOff>202968</xdr:rowOff>
    </xdr:to>
    <xdr:pic>
      <xdr:nvPicPr>
        <xdr:cNvPr id="26" name="Picture 25">
          <a:extLst>
            <a:ext uri="{FF2B5EF4-FFF2-40B4-BE49-F238E27FC236}">
              <a16:creationId xmlns:a16="http://schemas.microsoft.com/office/drawing/2014/main" xmlns="" id="{00000000-0008-0000-0B00-00001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8271" y="283585227"/>
          <a:ext cx="2633472" cy="1813560"/>
        </a:xfrm>
        <a:prstGeom prst="rect">
          <a:avLst/>
        </a:prstGeom>
      </xdr:spPr>
    </xdr:pic>
    <xdr:clientData/>
  </xdr:twoCellAnchor>
  <xdr:twoCellAnchor editAs="oneCell">
    <xdr:from>
      <xdr:col>3</xdr:col>
      <xdr:colOff>987135</xdr:colOff>
      <xdr:row>1471</xdr:row>
      <xdr:rowOff>103908</xdr:rowOff>
    </xdr:from>
    <xdr:to>
      <xdr:col>4</xdr:col>
      <xdr:colOff>468144</xdr:colOff>
      <xdr:row>1480</xdr:row>
      <xdr:rowOff>47104</xdr:rowOff>
    </xdr:to>
    <xdr:pic>
      <xdr:nvPicPr>
        <xdr:cNvPr id="27" name="Picture 26">
          <a:extLst>
            <a:ext uri="{FF2B5EF4-FFF2-40B4-BE49-F238E27FC236}">
              <a16:creationId xmlns:a16="http://schemas.microsoft.com/office/drawing/2014/main" xmlns="" id="{00000000-0008-0000-0B00-00001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69225" y="309683726"/>
          <a:ext cx="2633472" cy="1813560"/>
        </a:xfrm>
        <a:prstGeom prst="rect">
          <a:avLst/>
        </a:prstGeom>
      </xdr:spPr>
    </xdr:pic>
    <xdr:clientData/>
  </xdr:twoCellAnchor>
  <xdr:twoCellAnchor editAs="oneCell">
    <xdr:from>
      <xdr:col>3</xdr:col>
      <xdr:colOff>1151657</xdr:colOff>
      <xdr:row>1532</xdr:row>
      <xdr:rowOff>121227</xdr:rowOff>
    </xdr:from>
    <xdr:to>
      <xdr:col>4</xdr:col>
      <xdr:colOff>632666</xdr:colOff>
      <xdr:row>1541</xdr:row>
      <xdr:rowOff>64424</xdr:rowOff>
    </xdr:to>
    <xdr:pic>
      <xdr:nvPicPr>
        <xdr:cNvPr id="28" name="Picture 27">
          <a:extLst>
            <a:ext uri="{FF2B5EF4-FFF2-40B4-BE49-F238E27FC236}">
              <a16:creationId xmlns:a16="http://schemas.microsoft.com/office/drawing/2014/main" xmlns="" id="{00000000-0008-0000-0B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8269" y="322516500"/>
          <a:ext cx="2633472" cy="1813560"/>
        </a:xfrm>
        <a:prstGeom prst="rect">
          <a:avLst/>
        </a:prstGeom>
      </xdr:spPr>
    </xdr:pic>
    <xdr:clientData/>
  </xdr:twoCellAnchor>
  <xdr:twoCellAnchor editAs="oneCell">
    <xdr:from>
      <xdr:col>3</xdr:col>
      <xdr:colOff>1065068</xdr:colOff>
      <xdr:row>208</xdr:row>
      <xdr:rowOff>121227</xdr:rowOff>
    </xdr:from>
    <xdr:to>
      <xdr:col>4</xdr:col>
      <xdr:colOff>546077</xdr:colOff>
      <xdr:row>217</xdr:row>
      <xdr:rowOff>64423</xdr:rowOff>
    </xdr:to>
    <xdr:pic>
      <xdr:nvPicPr>
        <xdr:cNvPr id="29" name="Picture 28">
          <a:extLst>
            <a:ext uri="{FF2B5EF4-FFF2-40B4-BE49-F238E27FC236}">
              <a16:creationId xmlns:a16="http://schemas.microsoft.com/office/drawing/2014/main" xmlns="" id="{00000000-0008-0000-0B00-00001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25091" y="44161363"/>
          <a:ext cx="2633472" cy="1813560"/>
        </a:xfrm>
        <a:prstGeom prst="rect">
          <a:avLst/>
        </a:prstGeom>
      </xdr:spPr>
    </xdr:pic>
    <xdr:clientData/>
  </xdr:twoCellAnchor>
  <xdr:twoCellAnchor editAs="oneCell">
    <xdr:from>
      <xdr:col>3</xdr:col>
      <xdr:colOff>1065067</xdr:colOff>
      <xdr:row>274</xdr:row>
      <xdr:rowOff>103910</xdr:rowOff>
    </xdr:from>
    <xdr:to>
      <xdr:col>4</xdr:col>
      <xdr:colOff>546076</xdr:colOff>
      <xdr:row>285</xdr:row>
      <xdr:rowOff>47106</xdr:rowOff>
    </xdr:to>
    <xdr:pic>
      <xdr:nvPicPr>
        <xdr:cNvPr id="30" name="Picture 29">
          <a:extLst>
            <a:ext uri="{FF2B5EF4-FFF2-40B4-BE49-F238E27FC236}">
              <a16:creationId xmlns:a16="http://schemas.microsoft.com/office/drawing/2014/main" xmlns="" id="{00000000-0008-0000-0B00-00001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25089" y="58414228"/>
          <a:ext cx="2633472" cy="1813560"/>
        </a:xfrm>
        <a:prstGeom prst="rect">
          <a:avLst/>
        </a:prstGeom>
      </xdr:spPr>
    </xdr:pic>
    <xdr:clientData/>
  </xdr:twoCellAnchor>
  <xdr:twoCellAnchor editAs="oneCell">
    <xdr:from>
      <xdr:col>3</xdr:col>
      <xdr:colOff>1168976</xdr:colOff>
      <xdr:row>1033</xdr:row>
      <xdr:rowOff>34637</xdr:rowOff>
    </xdr:from>
    <xdr:to>
      <xdr:col>4</xdr:col>
      <xdr:colOff>649985</xdr:colOff>
      <xdr:row>1041</xdr:row>
      <xdr:rowOff>185651</xdr:rowOff>
    </xdr:to>
    <xdr:pic>
      <xdr:nvPicPr>
        <xdr:cNvPr id="31" name="Picture 30">
          <a:extLst>
            <a:ext uri="{FF2B5EF4-FFF2-40B4-BE49-F238E27FC236}">
              <a16:creationId xmlns:a16="http://schemas.microsoft.com/office/drawing/2014/main" xmlns="" id="{00000000-0008-0000-0B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32907" y="217620273"/>
          <a:ext cx="2633472" cy="1813560"/>
        </a:xfrm>
        <a:prstGeom prst="rect">
          <a:avLst/>
        </a:prstGeom>
      </xdr:spPr>
    </xdr:pic>
    <xdr:clientData/>
  </xdr:twoCellAnchor>
  <xdr:twoCellAnchor editAs="oneCell">
    <xdr:from>
      <xdr:col>3</xdr:col>
      <xdr:colOff>1151658</xdr:colOff>
      <xdr:row>1596</xdr:row>
      <xdr:rowOff>51954</xdr:rowOff>
    </xdr:from>
    <xdr:to>
      <xdr:col>4</xdr:col>
      <xdr:colOff>632667</xdr:colOff>
      <xdr:row>1604</xdr:row>
      <xdr:rowOff>202969</xdr:rowOff>
    </xdr:to>
    <xdr:pic>
      <xdr:nvPicPr>
        <xdr:cNvPr id="32" name="Picture 31">
          <a:extLst>
            <a:ext uri="{FF2B5EF4-FFF2-40B4-BE49-F238E27FC236}">
              <a16:creationId xmlns:a16="http://schemas.microsoft.com/office/drawing/2014/main" xmlns="" id="{00000000-0008-0000-0B00-00002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8271" y="322655045"/>
          <a:ext cx="2633472" cy="1813560"/>
        </a:xfrm>
        <a:prstGeom prst="rect">
          <a:avLst/>
        </a:prstGeom>
      </xdr:spPr>
    </xdr:pic>
    <xdr:clientData/>
  </xdr:twoCellAnchor>
  <xdr:twoCellAnchor editAs="oneCell">
    <xdr:from>
      <xdr:col>3</xdr:col>
      <xdr:colOff>1056407</xdr:colOff>
      <xdr:row>1657</xdr:row>
      <xdr:rowOff>173181</xdr:rowOff>
    </xdr:from>
    <xdr:to>
      <xdr:col>4</xdr:col>
      <xdr:colOff>684068</xdr:colOff>
      <xdr:row>1667</xdr:row>
      <xdr:rowOff>110544</xdr:rowOff>
    </xdr:to>
    <xdr:pic>
      <xdr:nvPicPr>
        <xdr:cNvPr id="33" name="Picture 32">
          <a:extLst>
            <a:ext uri="{FF2B5EF4-FFF2-40B4-BE49-F238E27FC236}">
              <a16:creationId xmlns:a16="http://schemas.microsoft.com/office/drawing/2014/main" xmlns="" id="{00000000-0008-0000-0B00-00002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07769" y="348822817"/>
          <a:ext cx="2926776" cy="2015545"/>
        </a:xfrm>
        <a:prstGeom prst="rect">
          <a:avLst/>
        </a:prstGeom>
      </xdr:spPr>
    </xdr:pic>
    <xdr:clientData/>
  </xdr:twoCellAnchor>
  <xdr:twoCellAnchor editAs="oneCell">
    <xdr:from>
      <xdr:col>3</xdr:col>
      <xdr:colOff>1134339</xdr:colOff>
      <xdr:row>1721</xdr:row>
      <xdr:rowOff>138546</xdr:rowOff>
    </xdr:from>
    <xdr:to>
      <xdr:col>4</xdr:col>
      <xdr:colOff>615348</xdr:colOff>
      <xdr:row>1730</xdr:row>
      <xdr:rowOff>81742</xdr:rowOff>
    </xdr:to>
    <xdr:pic>
      <xdr:nvPicPr>
        <xdr:cNvPr id="34" name="Picture 33">
          <a:extLst>
            <a:ext uri="{FF2B5EF4-FFF2-40B4-BE49-F238E27FC236}">
              <a16:creationId xmlns:a16="http://schemas.microsoft.com/office/drawing/2014/main" xmlns="" id="{00000000-0008-0000-0B00-00002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63633" y="362227091"/>
          <a:ext cx="2633472" cy="1813560"/>
        </a:xfrm>
        <a:prstGeom prst="rect">
          <a:avLst/>
        </a:prstGeom>
      </xdr:spPr>
    </xdr:pic>
    <xdr:clientData/>
  </xdr:twoCellAnchor>
  <xdr:twoCellAnchor editAs="oneCell">
    <xdr:from>
      <xdr:col>3</xdr:col>
      <xdr:colOff>1082383</xdr:colOff>
      <xdr:row>1782</xdr:row>
      <xdr:rowOff>17318</xdr:rowOff>
    </xdr:from>
    <xdr:to>
      <xdr:col>4</xdr:col>
      <xdr:colOff>777148</xdr:colOff>
      <xdr:row>1792</xdr:row>
      <xdr:rowOff>47105</xdr:rowOff>
    </xdr:to>
    <xdr:pic>
      <xdr:nvPicPr>
        <xdr:cNvPr id="35" name="Picture 34">
          <a:extLst>
            <a:ext uri="{FF2B5EF4-FFF2-40B4-BE49-F238E27FC236}">
              <a16:creationId xmlns:a16="http://schemas.microsoft.com/office/drawing/2014/main" xmlns="" id="{00000000-0008-0000-0B00-00002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9722" y="374921318"/>
          <a:ext cx="3060984" cy="2107969"/>
        </a:xfrm>
        <a:prstGeom prst="rect">
          <a:avLst/>
        </a:prstGeom>
      </xdr:spPr>
    </xdr:pic>
    <xdr:clientData/>
  </xdr:twoCellAnchor>
  <xdr:twoCellAnchor editAs="oneCell">
    <xdr:from>
      <xdr:col>3</xdr:col>
      <xdr:colOff>1151657</xdr:colOff>
      <xdr:row>1845</xdr:row>
      <xdr:rowOff>190500</xdr:rowOff>
    </xdr:from>
    <xdr:to>
      <xdr:col>4</xdr:col>
      <xdr:colOff>632666</xdr:colOff>
      <xdr:row>1854</xdr:row>
      <xdr:rowOff>133696</xdr:rowOff>
    </xdr:to>
    <xdr:pic>
      <xdr:nvPicPr>
        <xdr:cNvPr id="36" name="Picture 35">
          <a:extLst>
            <a:ext uri="{FF2B5EF4-FFF2-40B4-BE49-F238E27FC236}">
              <a16:creationId xmlns:a16="http://schemas.microsoft.com/office/drawing/2014/main" xmlns="" id="{00000000-0008-0000-0B00-00002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8270" y="388325591"/>
          <a:ext cx="2633472" cy="1813560"/>
        </a:xfrm>
        <a:prstGeom prst="rect">
          <a:avLst/>
        </a:prstGeom>
      </xdr:spPr>
    </xdr:pic>
    <xdr:clientData/>
  </xdr:twoCellAnchor>
  <xdr:oneCellAnchor>
    <xdr:from>
      <xdr:col>3</xdr:col>
      <xdr:colOff>1108361</xdr:colOff>
      <xdr:row>1907</xdr:row>
      <xdr:rowOff>17318</xdr:rowOff>
    </xdr:from>
    <xdr:ext cx="2522605" cy="2095500"/>
    <xdr:pic>
      <xdr:nvPicPr>
        <xdr:cNvPr id="37" name="Picture 36">
          <a:extLst>
            <a:ext uri="{FF2B5EF4-FFF2-40B4-BE49-F238E27FC236}">
              <a16:creationId xmlns:a16="http://schemas.microsoft.com/office/drawing/2014/main" xmlns="" id="{00000000-0008-0000-0B00-00002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77" y="401175682"/>
          <a:ext cx="2522605" cy="2095500"/>
        </a:xfrm>
        <a:prstGeom prst="rect">
          <a:avLst/>
        </a:prstGeom>
      </xdr:spPr>
    </xdr:pic>
    <xdr:clientData/>
  </xdr:oneCellAnchor>
  <xdr:oneCellAnchor>
    <xdr:from>
      <xdr:col>3</xdr:col>
      <xdr:colOff>1108361</xdr:colOff>
      <xdr:row>1969</xdr:row>
      <xdr:rowOff>17318</xdr:rowOff>
    </xdr:from>
    <xdr:ext cx="2522605" cy="2095500"/>
    <xdr:pic>
      <xdr:nvPicPr>
        <xdr:cNvPr id="38" name="Picture 37">
          <a:extLst>
            <a:ext uri="{FF2B5EF4-FFF2-40B4-BE49-F238E27FC236}">
              <a16:creationId xmlns:a16="http://schemas.microsoft.com/office/drawing/2014/main" xmlns="" id="{00000000-0008-0000-0B00-00002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77" y="401175682"/>
          <a:ext cx="2522605" cy="2095500"/>
        </a:xfrm>
        <a:prstGeom prst="rect">
          <a:avLst/>
        </a:prstGeom>
      </xdr:spPr>
    </xdr:pic>
    <xdr:clientData/>
  </xdr:oneCellAnchor>
  <xdr:oneCellAnchor>
    <xdr:from>
      <xdr:col>3</xdr:col>
      <xdr:colOff>1108361</xdr:colOff>
      <xdr:row>2031</xdr:row>
      <xdr:rowOff>17318</xdr:rowOff>
    </xdr:from>
    <xdr:ext cx="2522605" cy="2095500"/>
    <xdr:pic>
      <xdr:nvPicPr>
        <xdr:cNvPr id="39" name="Picture 38">
          <a:extLst>
            <a:ext uri="{FF2B5EF4-FFF2-40B4-BE49-F238E27FC236}">
              <a16:creationId xmlns:a16="http://schemas.microsoft.com/office/drawing/2014/main" xmlns="" id="{00000000-0008-0000-0B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77" y="414198954"/>
          <a:ext cx="2522605" cy="2095500"/>
        </a:xfrm>
        <a:prstGeom prst="rect">
          <a:avLst/>
        </a:prstGeom>
      </xdr:spPr>
    </xdr:pic>
    <xdr:clientData/>
  </xdr:oneCellAnchor>
  <xdr:oneCellAnchor>
    <xdr:from>
      <xdr:col>3</xdr:col>
      <xdr:colOff>1108361</xdr:colOff>
      <xdr:row>2093</xdr:row>
      <xdr:rowOff>17318</xdr:rowOff>
    </xdr:from>
    <xdr:ext cx="2522605" cy="2095500"/>
    <xdr:pic>
      <xdr:nvPicPr>
        <xdr:cNvPr id="40" name="Picture 39">
          <a:extLst>
            <a:ext uri="{FF2B5EF4-FFF2-40B4-BE49-F238E27FC236}">
              <a16:creationId xmlns:a16="http://schemas.microsoft.com/office/drawing/2014/main" xmlns="" id="{00000000-0008-0000-0B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77" y="427222227"/>
          <a:ext cx="2522605" cy="2095500"/>
        </a:xfrm>
        <a:prstGeom prst="rect">
          <a:avLst/>
        </a:prstGeom>
      </xdr:spPr>
    </xdr:pic>
    <xdr:clientData/>
  </xdr:oneCellAnchor>
  <xdr:oneCellAnchor>
    <xdr:from>
      <xdr:col>3</xdr:col>
      <xdr:colOff>1108361</xdr:colOff>
      <xdr:row>2155</xdr:row>
      <xdr:rowOff>17318</xdr:rowOff>
    </xdr:from>
    <xdr:ext cx="2522605" cy="2095500"/>
    <xdr:pic>
      <xdr:nvPicPr>
        <xdr:cNvPr id="41" name="Picture 40">
          <a:extLst>
            <a:ext uri="{FF2B5EF4-FFF2-40B4-BE49-F238E27FC236}">
              <a16:creationId xmlns:a16="http://schemas.microsoft.com/office/drawing/2014/main" xmlns="" id="{00000000-0008-0000-0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77" y="440245500"/>
          <a:ext cx="2522605" cy="2095500"/>
        </a:xfrm>
        <a:prstGeom prst="rect">
          <a:avLst/>
        </a:prstGeom>
      </xdr:spPr>
    </xdr:pic>
    <xdr:clientData/>
  </xdr:oneCellAnchor>
  <xdr:twoCellAnchor editAs="oneCell">
    <xdr:from>
      <xdr:col>3</xdr:col>
      <xdr:colOff>1125681</xdr:colOff>
      <xdr:row>398</xdr:row>
      <xdr:rowOff>51955</xdr:rowOff>
    </xdr:from>
    <xdr:to>
      <xdr:col>4</xdr:col>
      <xdr:colOff>606689</xdr:colOff>
      <xdr:row>406</xdr:row>
      <xdr:rowOff>202969</xdr:rowOff>
    </xdr:to>
    <xdr:pic>
      <xdr:nvPicPr>
        <xdr:cNvPr id="42" name="Picture 41">
          <a:extLst>
            <a:ext uri="{FF2B5EF4-FFF2-40B4-BE49-F238E27FC236}">
              <a16:creationId xmlns:a16="http://schemas.microsoft.com/office/drawing/2014/main" xmlns="" id="{00000000-0008-0000-0B00-00002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46317" y="84547364"/>
          <a:ext cx="2633470" cy="1813560"/>
        </a:xfrm>
        <a:prstGeom prst="rect">
          <a:avLst/>
        </a:prstGeom>
      </xdr:spPr>
    </xdr:pic>
    <xdr:clientData/>
  </xdr:twoCellAnchor>
  <xdr:twoCellAnchor editAs="oneCell">
    <xdr:from>
      <xdr:col>3</xdr:col>
      <xdr:colOff>1082386</xdr:colOff>
      <xdr:row>901</xdr:row>
      <xdr:rowOff>155863</xdr:rowOff>
    </xdr:from>
    <xdr:to>
      <xdr:col>4</xdr:col>
      <xdr:colOff>563394</xdr:colOff>
      <xdr:row>910</xdr:row>
      <xdr:rowOff>99059</xdr:rowOff>
    </xdr:to>
    <xdr:pic>
      <xdr:nvPicPr>
        <xdr:cNvPr id="43" name="Picture 42">
          <a:extLst>
            <a:ext uri="{FF2B5EF4-FFF2-40B4-BE49-F238E27FC236}">
              <a16:creationId xmlns:a16="http://schemas.microsoft.com/office/drawing/2014/main" xmlns="" id="{00000000-0008-0000-0B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9727" y="190032408"/>
          <a:ext cx="2633471" cy="1813560"/>
        </a:xfrm>
        <a:prstGeom prst="rect">
          <a:avLst/>
        </a:prstGeom>
      </xdr:spPr>
    </xdr:pic>
    <xdr:clientData/>
  </xdr:twoCellAnchor>
  <xdr:twoCellAnchor editAs="oneCell">
    <xdr:from>
      <xdr:col>3</xdr:col>
      <xdr:colOff>1108363</xdr:colOff>
      <xdr:row>840</xdr:row>
      <xdr:rowOff>17318</xdr:rowOff>
    </xdr:from>
    <xdr:to>
      <xdr:col>4</xdr:col>
      <xdr:colOff>589371</xdr:colOff>
      <xdr:row>848</xdr:row>
      <xdr:rowOff>168333</xdr:rowOff>
    </xdr:to>
    <xdr:pic>
      <xdr:nvPicPr>
        <xdr:cNvPr id="44" name="Picture 43">
          <a:extLst>
            <a:ext uri="{FF2B5EF4-FFF2-40B4-BE49-F238E27FC236}">
              <a16:creationId xmlns:a16="http://schemas.microsoft.com/office/drawing/2014/main" xmlns="" id="{00000000-0008-0000-0B00-00002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82" y="177078409"/>
          <a:ext cx="2633470" cy="1813560"/>
        </a:xfrm>
        <a:prstGeom prst="rect">
          <a:avLst/>
        </a:prstGeom>
      </xdr:spPr>
    </xdr:pic>
    <xdr:clientData/>
  </xdr:twoCellAnchor>
  <xdr:twoCellAnchor editAs="oneCell">
    <xdr:from>
      <xdr:col>3</xdr:col>
      <xdr:colOff>1290204</xdr:colOff>
      <xdr:row>19</xdr:row>
      <xdr:rowOff>138546</xdr:rowOff>
    </xdr:from>
    <xdr:to>
      <xdr:col>4</xdr:col>
      <xdr:colOff>771213</xdr:colOff>
      <xdr:row>28</xdr:row>
      <xdr:rowOff>81742</xdr:rowOff>
    </xdr:to>
    <xdr:pic>
      <xdr:nvPicPr>
        <xdr:cNvPr id="45" name="Picture 44">
          <a:extLst>
            <a:ext uri="{FF2B5EF4-FFF2-40B4-BE49-F238E27FC236}">
              <a16:creationId xmlns:a16="http://schemas.microsoft.com/office/drawing/2014/main" xmlns="" id="{00000000-0008-0000-0B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75363" y="4346864"/>
          <a:ext cx="2633472" cy="1813560"/>
        </a:xfrm>
        <a:prstGeom prst="rect">
          <a:avLst/>
        </a:prstGeom>
      </xdr:spPr>
    </xdr:pic>
    <xdr:clientData/>
  </xdr:twoCellAnchor>
  <xdr:twoCellAnchor editAs="oneCell">
    <xdr:from>
      <xdr:col>3</xdr:col>
      <xdr:colOff>1108364</xdr:colOff>
      <xdr:row>83</xdr:row>
      <xdr:rowOff>121227</xdr:rowOff>
    </xdr:from>
    <xdr:to>
      <xdr:col>4</xdr:col>
      <xdr:colOff>589373</xdr:colOff>
      <xdr:row>92</xdr:row>
      <xdr:rowOff>64423</xdr:rowOff>
    </xdr:to>
    <xdr:pic>
      <xdr:nvPicPr>
        <xdr:cNvPr id="46" name="Picture 45">
          <a:extLst>
            <a:ext uri="{FF2B5EF4-FFF2-40B4-BE49-F238E27FC236}">
              <a16:creationId xmlns:a16="http://schemas.microsoft.com/office/drawing/2014/main" xmlns="" id="{00000000-0008-0000-0B00-00002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11683" y="17768454"/>
          <a:ext cx="2633472" cy="1813560"/>
        </a:xfrm>
        <a:prstGeom prst="rect">
          <a:avLst/>
        </a:prstGeom>
      </xdr:spPr>
    </xdr:pic>
    <xdr:clientData/>
  </xdr:twoCellAnchor>
  <xdr:twoCellAnchor editAs="oneCell">
    <xdr:from>
      <xdr:col>3</xdr:col>
      <xdr:colOff>1091045</xdr:colOff>
      <xdr:row>145</xdr:row>
      <xdr:rowOff>173182</xdr:rowOff>
    </xdr:from>
    <xdr:to>
      <xdr:col>4</xdr:col>
      <xdr:colOff>572054</xdr:colOff>
      <xdr:row>154</xdr:row>
      <xdr:rowOff>116378</xdr:rowOff>
    </xdr:to>
    <xdr:pic>
      <xdr:nvPicPr>
        <xdr:cNvPr id="47" name="Picture 46">
          <a:extLst>
            <a:ext uri="{FF2B5EF4-FFF2-40B4-BE49-F238E27FC236}">
              <a16:creationId xmlns:a16="http://schemas.microsoft.com/office/drawing/2014/main" xmlns="" id="{00000000-0008-0000-0B00-00002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77046" y="30843682"/>
          <a:ext cx="2633472" cy="1813560"/>
        </a:xfrm>
        <a:prstGeom prst="rect">
          <a:avLst/>
        </a:prstGeom>
      </xdr:spPr>
    </xdr:pic>
    <xdr:clientData/>
  </xdr:twoCellAnchor>
  <xdr:twoCellAnchor editAs="oneCell">
    <xdr:from>
      <xdr:col>3</xdr:col>
      <xdr:colOff>987136</xdr:colOff>
      <xdr:row>335</xdr:row>
      <xdr:rowOff>17318</xdr:rowOff>
    </xdr:from>
    <xdr:to>
      <xdr:col>4</xdr:col>
      <xdr:colOff>468145</xdr:colOff>
      <xdr:row>343</xdr:row>
      <xdr:rowOff>168332</xdr:rowOff>
    </xdr:to>
    <xdr:pic>
      <xdr:nvPicPr>
        <xdr:cNvPr id="48" name="Picture 47">
          <a:extLst>
            <a:ext uri="{FF2B5EF4-FFF2-40B4-BE49-F238E27FC236}">
              <a16:creationId xmlns:a16="http://schemas.microsoft.com/office/drawing/2014/main" xmlns="" id="{00000000-0008-0000-0B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69227" y="71281636"/>
          <a:ext cx="2633472" cy="1813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33618</xdr:colOff>
      <xdr:row>179</xdr:row>
      <xdr:rowOff>112060</xdr:rowOff>
    </xdr:from>
    <xdr:to>
      <xdr:col>1</xdr:col>
      <xdr:colOff>5446059</xdr:colOff>
      <xdr:row>181</xdr:row>
      <xdr:rowOff>71846</xdr:rowOff>
    </xdr:to>
    <xdr:pic>
      <xdr:nvPicPr>
        <xdr:cNvPr id="8" name="Picture 7">
          <a:extLst>
            <a:ext uri="{FF2B5EF4-FFF2-40B4-BE49-F238E27FC236}">
              <a16:creationId xmlns:a16="http://schemas.microsoft.com/office/drawing/2014/main" xmlns="" id="{00000000-0008-0000-2C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7181"/>
        <a:stretch/>
      </xdr:blipFill>
      <xdr:spPr bwMode="auto">
        <a:xfrm>
          <a:off x="582706" y="45484678"/>
          <a:ext cx="5412441" cy="340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526676</xdr:colOff>
      <xdr:row>181</xdr:row>
      <xdr:rowOff>56030</xdr:rowOff>
    </xdr:from>
    <xdr:to>
      <xdr:col>1</xdr:col>
      <xdr:colOff>5401064</xdr:colOff>
      <xdr:row>212</xdr:row>
      <xdr:rowOff>168089</xdr:rowOff>
    </xdr:to>
    <xdr:pic>
      <xdr:nvPicPr>
        <xdr:cNvPr id="9" name="Picture 8">
          <a:extLst>
            <a:ext uri="{FF2B5EF4-FFF2-40B4-BE49-F238E27FC236}">
              <a16:creationId xmlns:a16="http://schemas.microsoft.com/office/drawing/2014/main" xmlns="" id="{00000000-0008-0000-2C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6" y="45809648"/>
          <a:ext cx="5423476" cy="6017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11206</xdr:colOff>
      <xdr:row>142</xdr:row>
      <xdr:rowOff>56029</xdr:rowOff>
    </xdr:from>
    <xdr:to>
      <xdr:col>1</xdr:col>
      <xdr:colOff>5471058</xdr:colOff>
      <xdr:row>175</xdr:row>
      <xdr:rowOff>100853</xdr:rowOff>
    </xdr:to>
    <xdr:pic>
      <xdr:nvPicPr>
        <xdr:cNvPr id="10" name="Picture 9">
          <a:extLst>
            <a:ext uri="{FF2B5EF4-FFF2-40B4-BE49-F238E27FC236}">
              <a16:creationId xmlns:a16="http://schemas.microsoft.com/office/drawing/2014/main" xmlns="" id="{00000000-0008-0000-2C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0294" y="38380147"/>
          <a:ext cx="5459852" cy="6331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215</xdr:row>
      <xdr:rowOff>0</xdr:rowOff>
    </xdr:from>
    <xdr:to>
      <xdr:col>1</xdr:col>
      <xdr:colOff>5248275</xdr:colOff>
      <xdr:row>235</xdr:row>
      <xdr:rowOff>66675</xdr:rowOff>
    </xdr:to>
    <xdr:pic>
      <xdr:nvPicPr>
        <xdr:cNvPr id="11" name="Picture 10">
          <a:extLst>
            <a:ext uri="{FF2B5EF4-FFF2-40B4-BE49-F238E27FC236}">
              <a16:creationId xmlns:a16="http://schemas.microsoft.com/office/drawing/2014/main" xmlns="" id="{00000000-0008-0000-2C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2450" y="52225575"/>
          <a:ext cx="5248275"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67235</xdr:colOff>
      <xdr:row>236</xdr:row>
      <xdr:rowOff>134471</xdr:rowOff>
    </xdr:from>
    <xdr:to>
      <xdr:col>1</xdr:col>
      <xdr:colOff>5277410</xdr:colOff>
      <xdr:row>257</xdr:row>
      <xdr:rowOff>10646</xdr:rowOff>
    </xdr:to>
    <xdr:pic>
      <xdr:nvPicPr>
        <xdr:cNvPr id="12" name="Picture 11">
          <a:extLst>
            <a:ext uri="{FF2B5EF4-FFF2-40B4-BE49-F238E27FC236}">
              <a16:creationId xmlns:a16="http://schemas.microsoft.com/office/drawing/2014/main" xmlns="" id="{00000000-0008-0000-2C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6323" y="56365589"/>
          <a:ext cx="5210175"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105</xdr:row>
      <xdr:rowOff>0</xdr:rowOff>
    </xdr:from>
    <xdr:to>
      <xdr:col>1</xdr:col>
      <xdr:colOff>5486592</xdr:colOff>
      <xdr:row>134</xdr:row>
      <xdr:rowOff>156882</xdr:rowOff>
    </xdr:to>
    <xdr:pic>
      <xdr:nvPicPr>
        <xdr:cNvPr id="13" name="Picture 12">
          <a:extLst>
            <a:ext uri="{FF2B5EF4-FFF2-40B4-BE49-F238E27FC236}">
              <a16:creationId xmlns:a16="http://schemas.microsoft.com/office/drawing/2014/main" xmlns="" id="{00000000-0008-0000-2C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9088" y="30513618"/>
          <a:ext cx="5486592" cy="5681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114300</xdr:colOff>
      <xdr:row>5</xdr:row>
      <xdr:rowOff>95250</xdr:rowOff>
    </xdr:from>
    <xdr:to>
      <xdr:col>4</xdr:col>
      <xdr:colOff>323850</xdr:colOff>
      <xdr:row>5</xdr:row>
      <xdr:rowOff>95250</xdr:rowOff>
    </xdr:to>
    <xdr:cxnSp macro="">
      <xdr:nvCxnSpPr>
        <xdr:cNvPr id="2" name="Straight Arrow Connector 1">
          <a:extLst>
            <a:ext uri="{FF2B5EF4-FFF2-40B4-BE49-F238E27FC236}">
              <a16:creationId xmlns:a16="http://schemas.microsoft.com/office/drawing/2014/main" xmlns="" id="{00000000-0008-0000-3200-000002000000}"/>
            </a:ext>
          </a:extLst>
        </xdr:cNvPr>
        <xdr:cNvCxnSpPr/>
      </xdr:nvCxnSpPr>
      <xdr:spPr>
        <a:xfrm>
          <a:off x="6400800" y="104775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7</xdr:row>
      <xdr:rowOff>114300</xdr:rowOff>
    </xdr:from>
    <xdr:to>
      <xdr:col>4</xdr:col>
      <xdr:colOff>304800</xdr:colOff>
      <xdr:row>7</xdr:row>
      <xdr:rowOff>114300</xdr:rowOff>
    </xdr:to>
    <xdr:cxnSp macro="">
      <xdr:nvCxnSpPr>
        <xdr:cNvPr id="3" name="Straight Arrow Connector 2">
          <a:extLst>
            <a:ext uri="{FF2B5EF4-FFF2-40B4-BE49-F238E27FC236}">
              <a16:creationId xmlns:a16="http://schemas.microsoft.com/office/drawing/2014/main" xmlns="" id="{00000000-0008-0000-3200-000003000000}"/>
            </a:ext>
          </a:extLst>
        </xdr:cNvPr>
        <xdr:cNvCxnSpPr/>
      </xdr:nvCxnSpPr>
      <xdr:spPr>
        <a:xfrm>
          <a:off x="6381750" y="16383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9</xdr:row>
      <xdr:rowOff>95250</xdr:rowOff>
    </xdr:from>
    <xdr:to>
      <xdr:col>4</xdr:col>
      <xdr:colOff>304800</xdr:colOff>
      <xdr:row>9</xdr:row>
      <xdr:rowOff>95250</xdr:rowOff>
    </xdr:to>
    <xdr:cxnSp macro="">
      <xdr:nvCxnSpPr>
        <xdr:cNvPr id="4" name="Straight Arrow Connector 3">
          <a:extLst>
            <a:ext uri="{FF2B5EF4-FFF2-40B4-BE49-F238E27FC236}">
              <a16:creationId xmlns:a16="http://schemas.microsoft.com/office/drawing/2014/main" xmlns="" id="{00000000-0008-0000-3200-000004000000}"/>
            </a:ext>
          </a:extLst>
        </xdr:cNvPr>
        <xdr:cNvCxnSpPr/>
      </xdr:nvCxnSpPr>
      <xdr:spPr>
        <a:xfrm>
          <a:off x="6381750" y="219075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11</xdr:row>
      <xdr:rowOff>295275</xdr:rowOff>
    </xdr:from>
    <xdr:to>
      <xdr:col>4</xdr:col>
      <xdr:colOff>314325</xdr:colOff>
      <xdr:row>11</xdr:row>
      <xdr:rowOff>295275</xdr:rowOff>
    </xdr:to>
    <xdr:cxnSp macro="">
      <xdr:nvCxnSpPr>
        <xdr:cNvPr id="5" name="Straight Arrow Connector 4">
          <a:extLst>
            <a:ext uri="{FF2B5EF4-FFF2-40B4-BE49-F238E27FC236}">
              <a16:creationId xmlns:a16="http://schemas.microsoft.com/office/drawing/2014/main" xmlns="" id="{00000000-0008-0000-3200-000005000000}"/>
            </a:ext>
          </a:extLst>
        </xdr:cNvPr>
        <xdr:cNvCxnSpPr/>
      </xdr:nvCxnSpPr>
      <xdr:spPr>
        <a:xfrm>
          <a:off x="6391275" y="30099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13</xdr:row>
      <xdr:rowOff>104775</xdr:rowOff>
    </xdr:from>
    <xdr:to>
      <xdr:col>4</xdr:col>
      <xdr:colOff>295275</xdr:colOff>
      <xdr:row>13</xdr:row>
      <xdr:rowOff>104775</xdr:rowOff>
    </xdr:to>
    <xdr:cxnSp macro="">
      <xdr:nvCxnSpPr>
        <xdr:cNvPr id="6" name="Straight Arrow Connector 5">
          <a:extLst>
            <a:ext uri="{FF2B5EF4-FFF2-40B4-BE49-F238E27FC236}">
              <a16:creationId xmlns:a16="http://schemas.microsoft.com/office/drawing/2014/main" xmlns="" id="{00000000-0008-0000-3200-000006000000}"/>
            </a:ext>
          </a:extLst>
        </xdr:cNvPr>
        <xdr:cNvCxnSpPr/>
      </xdr:nvCxnSpPr>
      <xdr:spPr>
        <a:xfrm>
          <a:off x="6372225" y="3781425"/>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85725</xdr:colOff>
      <xdr:row>17</xdr:row>
      <xdr:rowOff>133350</xdr:rowOff>
    </xdr:from>
    <xdr:to>
      <xdr:col>4</xdr:col>
      <xdr:colOff>519545</xdr:colOff>
      <xdr:row>17</xdr:row>
      <xdr:rowOff>138545</xdr:rowOff>
    </xdr:to>
    <xdr:cxnSp macro="">
      <xdr:nvCxnSpPr>
        <xdr:cNvPr id="7" name="Straight Arrow Connector 6">
          <a:extLst>
            <a:ext uri="{FF2B5EF4-FFF2-40B4-BE49-F238E27FC236}">
              <a16:creationId xmlns:a16="http://schemas.microsoft.com/office/drawing/2014/main" xmlns="" id="{00000000-0008-0000-3200-000007000000}"/>
            </a:ext>
          </a:extLst>
        </xdr:cNvPr>
        <xdr:cNvCxnSpPr/>
      </xdr:nvCxnSpPr>
      <xdr:spPr>
        <a:xfrm>
          <a:off x="1748270" y="5536623"/>
          <a:ext cx="1819275" cy="519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19</xdr:row>
      <xdr:rowOff>95250</xdr:rowOff>
    </xdr:from>
    <xdr:to>
      <xdr:col>4</xdr:col>
      <xdr:colOff>304800</xdr:colOff>
      <xdr:row>19</xdr:row>
      <xdr:rowOff>95250</xdr:rowOff>
    </xdr:to>
    <xdr:cxnSp macro="">
      <xdr:nvCxnSpPr>
        <xdr:cNvPr id="8" name="Straight Arrow Connector 7">
          <a:extLst>
            <a:ext uri="{FF2B5EF4-FFF2-40B4-BE49-F238E27FC236}">
              <a16:creationId xmlns:a16="http://schemas.microsoft.com/office/drawing/2014/main" xmlns="" id="{00000000-0008-0000-3200-000008000000}"/>
            </a:ext>
          </a:extLst>
        </xdr:cNvPr>
        <xdr:cNvCxnSpPr/>
      </xdr:nvCxnSpPr>
      <xdr:spPr>
        <a:xfrm>
          <a:off x="6381750" y="56388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18</xdr:row>
      <xdr:rowOff>9525</xdr:rowOff>
    </xdr:from>
    <xdr:to>
      <xdr:col>5</xdr:col>
      <xdr:colOff>314325</xdr:colOff>
      <xdr:row>18</xdr:row>
      <xdr:rowOff>295275</xdr:rowOff>
    </xdr:to>
    <xdr:cxnSp macro="">
      <xdr:nvCxnSpPr>
        <xdr:cNvPr id="9" name="Straight Arrow Connector 8">
          <a:extLst>
            <a:ext uri="{FF2B5EF4-FFF2-40B4-BE49-F238E27FC236}">
              <a16:creationId xmlns:a16="http://schemas.microsoft.com/office/drawing/2014/main" xmlns="" id="{00000000-0008-0000-3200-000009000000}"/>
            </a:ext>
          </a:extLst>
        </xdr:cNvPr>
        <xdr:cNvCxnSpPr/>
      </xdr:nvCxnSpPr>
      <xdr:spPr>
        <a:xfrm flipV="1">
          <a:off x="8058150" y="5238750"/>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14</xdr:row>
      <xdr:rowOff>38101</xdr:rowOff>
    </xdr:from>
    <xdr:to>
      <xdr:col>5</xdr:col>
      <xdr:colOff>304800</xdr:colOff>
      <xdr:row>14</xdr:row>
      <xdr:rowOff>371475</xdr:rowOff>
    </xdr:to>
    <xdr:cxnSp macro="">
      <xdr:nvCxnSpPr>
        <xdr:cNvPr id="11" name="Straight Arrow Connector 10">
          <a:extLst>
            <a:ext uri="{FF2B5EF4-FFF2-40B4-BE49-F238E27FC236}">
              <a16:creationId xmlns:a16="http://schemas.microsoft.com/office/drawing/2014/main" xmlns="" id="{00000000-0008-0000-3200-00000B000000}"/>
            </a:ext>
          </a:extLst>
        </xdr:cNvPr>
        <xdr:cNvCxnSpPr/>
      </xdr:nvCxnSpPr>
      <xdr:spPr>
        <a:xfrm flipV="1">
          <a:off x="8058150" y="390525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685800</xdr:colOff>
      <xdr:row>16</xdr:row>
      <xdr:rowOff>57150</xdr:rowOff>
    </xdr:from>
    <xdr:to>
      <xdr:col>4</xdr:col>
      <xdr:colOff>571500</xdr:colOff>
      <xdr:row>16</xdr:row>
      <xdr:rowOff>363681</xdr:rowOff>
    </xdr:to>
    <xdr:cxnSp macro="">
      <xdr:nvCxnSpPr>
        <xdr:cNvPr id="12" name="Straight Arrow Connector 11">
          <a:extLst>
            <a:ext uri="{FF2B5EF4-FFF2-40B4-BE49-F238E27FC236}">
              <a16:creationId xmlns:a16="http://schemas.microsoft.com/office/drawing/2014/main" xmlns="" id="{00000000-0008-0000-3200-00000C000000}"/>
            </a:ext>
          </a:extLst>
        </xdr:cNvPr>
        <xdr:cNvCxnSpPr/>
      </xdr:nvCxnSpPr>
      <xdr:spPr>
        <a:xfrm flipH="1" flipV="1">
          <a:off x="3041073" y="5062105"/>
          <a:ext cx="578427" cy="30653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66675</xdr:colOff>
      <xdr:row>16</xdr:row>
      <xdr:rowOff>104775</xdr:rowOff>
    </xdr:from>
    <xdr:to>
      <xdr:col>7</xdr:col>
      <xdr:colOff>66675</xdr:colOff>
      <xdr:row>16</xdr:row>
      <xdr:rowOff>361950</xdr:rowOff>
    </xdr:to>
    <xdr:cxnSp macro="">
      <xdr:nvCxnSpPr>
        <xdr:cNvPr id="13" name="Straight Arrow Connector 12">
          <a:extLst>
            <a:ext uri="{FF2B5EF4-FFF2-40B4-BE49-F238E27FC236}">
              <a16:creationId xmlns:a16="http://schemas.microsoft.com/office/drawing/2014/main" xmlns="" id="{00000000-0008-0000-3200-00000D000000}"/>
            </a:ext>
          </a:extLst>
        </xdr:cNvPr>
        <xdr:cNvCxnSpPr/>
      </xdr:nvCxnSpPr>
      <xdr:spPr>
        <a:xfrm flipV="1">
          <a:off x="8505825" y="4743450"/>
          <a:ext cx="352425" cy="25717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295275</xdr:colOff>
      <xdr:row>12</xdr:row>
      <xdr:rowOff>28576</xdr:rowOff>
    </xdr:from>
    <xdr:to>
      <xdr:col>5</xdr:col>
      <xdr:colOff>295275</xdr:colOff>
      <xdr:row>12</xdr:row>
      <xdr:rowOff>361950</xdr:rowOff>
    </xdr:to>
    <xdr:cxnSp macro="">
      <xdr:nvCxnSpPr>
        <xdr:cNvPr id="14" name="Straight Arrow Connector 13">
          <a:extLst>
            <a:ext uri="{FF2B5EF4-FFF2-40B4-BE49-F238E27FC236}">
              <a16:creationId xmlns:a16="http://schemas.microsoft.com/office/drawing/2014/main" xmlns="" id="{00000000-0008-0000-3200-00000E000000}"/>
            </a:ext>
          </a:extLst>
        </xdr:cNvPr>
        <xdr:cNvCxnSpPr/>
      </xdr:nvCxnSpPr>
      <xdr:spPr>
        <a:xfrm flipV="1">
          <a:off x="8048625" y="3314701"/>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428625</xdr:colOff>
      <xdr:row>12</xdr:row>
      <xdr:rowOff>66676</xdr:rowOff>
    </xdr:from>
    <xdr:to>
      <xdr:col>7</xdr:col>
      <xdr:colOff>19050</xdr:colOff>
      <xdr:row>12</xdr:row>
      <xdr:rowOff>381000</xdr:rowOff>
    </xdr:to>
    <xdr:cxnSp macro="">
      <xdr:nvCxnSpPr>
        <xdr:cNvPr id="15" name="Straight Arrow Connector 14">
          <a:extLst>
            <a:ext uri="{FF2B5EF4-FFF2-40B4-BE49-F238E27FC236}">
              <a16:creationId xmlns:a16="http://schemas.microsoft.com/office/drawing/2014/main" xmlns="" id="{00000000-0008-0000-3200-00000F000000}"/>
            </a:ext>
          </a:extLst>
        </xdr:cNvPr>
        <xdr:cNvCxnSpPr/>
      </xdr:nvCxnSpPr>
      <xdr:spPr>
        <a:xfrm flipV="1">
          <a:off x="8181975" y="3352801"/>
          <a:ext cx="628650" cy="3143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323850</xdr:colOff>
      <xdr:row>10</xdr:row>
      <xdr:rowOff>76200</xdr:rowOff>
    </xdr:from>
    <xdr:to>
      <xdr:col>5</xdr:col>
      <xdr:colOff>323850</xdr:colOff>
      <xdr:row>10</xdr:row>
      <xdr:rowOff>409574</xdr:rowOff>
    </xdr:to>
    <xdr:cxnSp macro="">
      <xdr:nvCxnSpPr>
        <xdr:cNvPr id="16" name="Straight Arrow Connector 15">
          <a:extLst>
            <a:ext uri="{FF2B5EF4-FFF2-40B4-BE49-F238E27FC236}">
              <a16:creationId xmlns:a16="http://schemas.microsoft.com/office/drawing/2014/main" xmlns="" id="{00000000-0008-0000-3200-000010000000}"/>
            </a:ext>
          </a:extLst>
        </xdr:cNvPr>
        <xdr:cNvCxnSpPr/>
      </xdr:nvCxnSpPr>
      <xdr:spPr>
        <a:xfrm flipV="1">
          <a:off x="8077200" y="236220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352425</xdr:colOff>
      <xdr:row>10</xdr:row>
      <xdr:rowOff>57150</xdr:rowOff>
    </xdr:from>
    <xdr:to>
      <xdr:col>7</xdr:col>
      <xdr:colOff>352425</xdr:colOff>
      <xdr:row>10</xdr:row>
      <xdr:rowOff>390524</xdr:rowOff>
    </xdr:to>
    <xdr:cxnSp macro="">
      <xdr:nvCxnSpPr>
        <xdr:cNvPr id="17" name="Straight Arrow Connector 16">
          <a:extLst>
            <a:ext uri="{FF2B5EF4-FFF2-40B4-BE49-F238E27FC236}">
              <a16:creationId xmlns:a16="http://schemas.microsoft.com/office/drawing/2014/main" xmlns="" id="{00000000-0008-0000-3200-000011000000}"/>
            </a:ext>
          </a:extLst>
        </xdr:cNvPr>
        <xdr:cNvCxnSpPr/>
      </xdr:nvCxnSpPr>
      <xdr:spPr>
        <a:xfrm flipV="1">
          <a:off x="9144000" y="23431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xdr:colOff>
      <xdr:row>9</xdr:row>
      <xdr:rowOff>114300</xdr:rowOff>
    </xdr:from>
    <xdr:to>
      <xdr:col>8</xdr:col>
      <xdr:colOff>304800</xdr:colOff>
      <xdr:row>9</xdr:row>
      <xdr:rowOff>123824</xdr:rowOff>
    </xdr:to>
    <xdr:cxnSp macro="">
      <xdr:nvCxnSpPr>
        <xdr:cNvPr id="18" name="Straight Arrow Connector 17">
          <a:extLst>
            <a:ext uri="{FF2B5EF4-FFF2-40B4-BE49-F238E27FC236}">
              <a16:creationId xmlns:a16="http://schemas.microsoft.com/office/drawing/2014/main" xmlns="" id="{00000000-0008-0000-3200-000012000000}"/>
            </a:ext>
          </a:extLst>
        </xdr:cNvPr>
        <xdr:cNvCxnSpPr/>
      </xdr:nvCxnSpPr>
      <xdr:spPr>
        <a:xfrm flipV="1">
          <a:off x="4895850" y="2238375"/>
          <a:ext cx="285750" cy="95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295275</xdr:colOff>
      <xdr:row>8</xdr:row>
      <xdr:rowOff>28575</xdr:rowOff>
    </xdr:from>
    <xdr:to>
      <xdr:col>5</xdr:col>
      <xdr:colOff>295275</xdr:colOff>
      <xdr:row>8</xdr:row>
      <xdr:rowOff>361949</xdr:rowOff>
    </xdr:to>
    <xdr:cxnSp macro="">
      <xdr:nvCxnSpPr>
        <xdr:cNvPr id="19" name="Straight Arrow Connector 18">
          <a:extLst>
            <a:ext uri="{FF2B5EF4-FFF2-40B4-BE49-F238E27FC236}">
              <a16:creationId xmlns:a16="http://schemas.microsoft.com/office/drawing/2014/main" xmlns="" id="{00000000-0008-0000-3200-000013000000}"/>
            </a:ext>
          </a:extLst>
        </xdr:cNvPr>
        <xdr:cNvCxnSpPr/>
      </xdr:nvCxnSpPr>
      <xdr:spPr>
        <a:xfrm flipV="1">
          <a:off x="8048625" y="1743075"/>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314325</xdr:colOff>
      <xdr:row>6</xdr:row>
      <xdr:rowOff>38100</xdr:rowOff>
    </xdr:from>
    <xdr:to>
      <xdr:col>5</xdr:col>
      <xdr:colOff>314325</xdr:colOff>
      <xdr:row>6</xdr:row>
      <xdr:rowOff>371474</xdr:rowOff>
    </xdr:to>
    <xdr:cxnSp macro="">
      <xdr:nvCxnSpPr>
        <xdr:cNvPr id="20" name="Straight Arrow Connector 19">
          <a:extLst>
            <a:ext uri="{FF2B5EF4-FFF2-40B4-BE49-F238E27FC236}">
              <a16:creationId xmlns:a16="http://schemas.microsoft.com/office/drawing/2014/main" xmlns="" id="{00000000-0008-0000-3200-000014000000}"/>
            </a:ext>
          </a:extLst>
        </xdr:cNvPr>
        <xdr:cNvCxnSpPr/>
      </xdr:nvCxnSpPr>
      <xdr:spPr>
        <a:xfrm flipV="1">
          <a:off x="8067675" y="118110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29</xdr:row>
      <xdr:rowOff>95250</xdr:rowOff>
    </xdr:from>
    <xdr:to>
      <xdr:col>4</xdr:col>
      <xdr:colOff>323850</xdr:colOff>
      <xdr:row>29</xdr:row>
      <xdr:rowOff>95250</xdr:rowOff>
    </xdr:to>
    <xdr:cxnSp macro="">
      <xdr:nvCxnSpPr>
        <xdr:cNvPr id="21" name="Straight Arrow Connector 20">
          <a:extLst>
            <a:ext uri="{FF2B5EF4-FFF2-40B4-BE49-F238E27FC236}">
              <a16:creationId xmlns:a16="http://schemas.microsoft.com/office/drawing/2014/main" xmlns="" id="{00000000-0008-0000-3200-000015000000}"/>
            </a:ext>
          </a:extLst>
        </xdr:cNvPr>
        <xdr:cNvCxnSpPr/>
      </xdr:nvCxnSpPr>
      <xdr:spPr>
        <a:xfrm>
          <a:off x="6400800" y="75438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31</xdr:row>
      <xdr:rowOff>114300</xdr:rowOff>
    </xdr:from>
    <xdr:to>
      <xdr:col>4</xdr:col>
      <xdr:colOff>304800</xdr:colOff>
      <xdr:row>31</xdr:row>
      <xdr:rowOff>114300</xdr:rowOff>
    </xdr:to>
    <xdr:cxnSp macro="">
      <xdr:nvCxnSpPr>
        <xdr:cNvPr id="22" name="Straight Arrow Connector 21">
          <a:extLst>
            <a:ext uri="{FF2B5EF4-FFF2-40B4-BE49-F238E27FC236}">
              <a16:creationId xmlns:a16="http://schemas.microsoft.com/office/drawing/2014/main" xmlns="" id="{00000000-0008-0000-3200-000016000000}"/>
            </a:ext>
          </a:extLst>
        </xdr:cNvPr>
        <xdr:cNvCxnSpPr/>
      </xdr:nvCxnSpPr>
      <xdr:spPr>
        <a:xfrm>
          <a:off x="6381750" y="794385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33</xdr:row>
      <xdr:rowOff>95250</xdr:rowOff>
    </xdr:from>
    <xdr:to>
      <xdr:col>4</xdr:col>
      <xdr:colOff>304800</xdr:colOff>
      <xdr:row>33</xdr:row>
      <xdr:rowOff>95250</xdr:rowOff>
    </xdr:to>
    <xdr:cxnSp macro="">
      <xdr:nvCxnSpPr>
        <xdr:cNvPr id="23" name="Straight Arrow Connector 22">
          <a:extLst>
            <a:ext uri="{FF2B5EF4-FFF2-40B4-BE49-F238E27FC236}">
              <a16:creationId xmlns:a16="http://schemas.microsoft.com/office/drawing/2014/main" xmlns="" id="{00000000-0008-0000-3200-000017000000}"/>
            </a:ext>
          </a:extLst>
        </xdr:cNvPr>
        <xdr:cNvCxnSpPr/>
      </xdr:nvCxnSpPr>
      <xdr:spPr>
        <a:xfrm>
          <a:off x="6381750" y="83058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35</xdr:row>
      <xdr:rowOff>295275</xdr:rowOff>
    </xdr:from>
    <xdr:to>
      <xdr:col>4</xdr:col>
      <xdr:colOff>314325</xdr:colOff>
      <xdr:row>35</xdr:row>
      <xdr:rowOff>295275</xdr:rowOff>
    </xdr:to>
    <xdr:cxnSp macro="">
      <xdr:nvCxnSpPr>
        <xdr:cNvPr id="24" name="Straight Arrow Connector 23">
          <a:extLst>
            <a:ext uri="{FF2B5EF4-FFF2-40B4-BE49-F238E27FC236}">
              <a16:creationId xmlns:a16="http://schemas.microsoft.com/office/drawing/2014/main" xmlns="" id="{00000000-0008-0000-3200-000018000000}"/>
            </a:ext>
          </a:extLst>
        </xdr:cNvPr>
        <xdr:cNvCxnSpPr/>
      </xdr:nvCxnSpPr>
      <xdr:spPr>
        <a:xfrm>
          <a:off x="6391275" y="914400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133350</xdr:colOff>
      <xdr:row>38</xdr:row>
      <xdr:rowOff>142875</xdr:rowOff>
    </xdr:from>
    <xdr:to>
      <xdr:col>4</xdr:col>
      <xdr:colOff>342900</xdr:colOff>
      <xdr:row>38</xdr:row>
      <xdr:rowOff>142875</xdr:rowOff>
    </xdr:to>
    <xdr:cxnSp macro="">
      <xdr:nvCxnSpPr>
        <xdr:cNvPr id="25" name="Straight Arrow Connector 24">
          <a:extLst>
            <a:ext uri="{FF2B5EF4-FFF2-40B4-BE49-F238E27FC236}">
              <a16:creationId xmlns:a16="http://schemas.microsoft.com/office/drawing/2014/main" xmlns="" id="{00000000-0008-0000-3200-000019000000}"/>
            </a:ext>
          </a:extLst>
        </xdr:cNvPr>
        <xdr:cNvCxnSpPr/>
      </xdr:nvCxnSpPr>
      <xdr:spPr>
        <a:xfrm>
          <a:off x="6419850" y="1011555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42</xdr:row>
      <xdr:rowOff>95250</xdr:rowOff>
    </xdr:from>
    <xdr:to>
      <xdr:col>4</xdr:col>
      <xdr:colOff>304800</xdr:colOff>
      <xdr:row>42</xdr:row>
      <xdr:rowOff>95250</xdr:rowOff>
    </xdr:to>
    <xdr:cxnSp macro="">
      <xdr:nvCxnSpPr>
        <xdr:cNvPr id="26" name="Straight Arrow Connector 25">
          <a:extLst>
            <a:ext uri="{FF2B5EF4-FFF2-40B4-BE49-F238E27FC236}">
              <a16:creationId xmlns:a16="http://schemas.microsoft.com/office/drawing/2014/main" xmlns="" id="{00000000-0008-0000-3200-00001A000000}"/>
            </a:ext>
          </a:extLst>
        </xdr:cNvPr>
        <xdr:cNvCxnSpPr/>
      </xdr:nvCxnSpPr>
      <xdr:spPr>
        <a:xfrm>
          <a:off x="6381750" y="11210925"/>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41</xdr:row>
      <xdr:rowOff>9525</xdr:rowOff>
    </xdr:from>
    <xdr:to>
      <xdr:col>5</xdr:col>
      <xdr:colOff>314325</xdr:colOff>
      <xdr:row>41</xdr:row>
      <xdr:rowOff>295275</xdr:rowOff>
    </xdr:to>
    <xdr:cxnSp macro="">
      <xdr:nvCxnSpPr>
        <xdr:cNvPr id="27" name="Straight Arrow Connector 26">
          <a:extLst>
            <a:ext uri="{FF2B5EF4-FFF2-40B4-BE49-F238E27FC236}">
              <a16:creationId xmlns:a16="http://schemas.microsoft.com/office/drawing/2014/main" xmlns="" id="{00000000-0008-0000-3200-00001B000000}"/>
            </a:ext>
          </a:extLst>
        </xdr:cNvPr>
        <xdr:cNvCxnSpPr/>
      </xdr:nvCxnSpPr>
      <xdr:spPr>
        <a:xfrm flipV="1">
          <a:off x="8058150" y="10734675"/>
          <a:ext cx="9525" cy="2857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333375</xdr:colOff>
      <xdr:row>39</xdr:row>
      <xdr:rowOff>19051</xdr:rowOff>
    </xdr:from>
    <xdr:to>
      <xdr:col>5</xdr:col>
      <xdr:colOff>333375</xdr:colOff>
      <xdr:row>39</xdr:row>
      <xdr:rowOff>352425</xdr:rowOff>
    </xdr:to>
    <xdr:cxnSp macro="">
      <xdr:nvCxnSpPr>
        <xdr:cNvPr id="28" name="Straight Arrow Connector 27">
          <a:extLst>
            <a:ext uri="{FF2B5EF4-FFF2-40B4-BE49-F238E27FC236}">
              <a16:creationId xmlns:a16="http://schemas.microsoft.com/office/drawing/2014/main" xmlns="" id="{00000000-0008-0000-3200-00001C000000}"/>
            </a:ext>
          </a:extLst>
        </xdr:cNvPr>
        <xdr:cNvCxnSpPr/>
      </xdr:nvCxnSpPr>
      <xdr:spPr>
        <a:xfrm flipV="1">
          <a:off x="8086725" y="10182226"/>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314325</xdr:colOff>
      <xdr:row>36</xdr:row>
      <xdr:rowOff>133351</xdr:rowOff>
    </xdr:from>
    <xdr:to>
      <xdr:col>5</xdr:col>
      <xdr:colOff>314325</xdr:colOff>
      <xdr:row>37</xdr:row>
      <xdr:rowOff>266700</xdr:rowOff>
    </xdr:to>
    <xdr:cxnSp macro="">
      <xdr:nvCxnSpPr>
        <xdr:cNvPr id="29" name="Straight Arrow Connector 28">
          <a:extLst>
            <a:ext uri="{FF2B5EF4-FFF2-40B4-BE49-F238E27FC236}">
              <a16:creationId xmlns:a16="http://schemas.microsoft.com/office/drawing/2014/main" xmlns="" id="{00000000-0008-0000-3200-00001D000000}"/>
            </a:ext>
          </a:extLst>
        </xdr:cNvPr>
        <xdr:cNvCxnSpPr/>
      </xdr:nvCxnSpPr>
      <xdr:spPr>
        <a:xfrm flipV="1">
          <a:off x="8067675" y="9553576"/>
          <a:ext cx="0" cy="32384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323850</xdr:colOff>
      <xdr:row>34</xdr:row>
      <xdr:rowOff>76200</xdr:rowOff>
    </xdr:from>
    <xdr:to>
      <xdr:col>5</xdr:col>
      <xdr:colOff>323850</xdr:colOff>
      <xdr:row>34</xdr:row>
      <xdr:rowOff>409574</xdr:rowOff>
    </xdr:to>
    <xdr:cxnSp macro="">
      <xdr:nvCxnSpPr>
        <xdr:cNvPr id="30" name="Straight Arrow Connector 29">
          <a:extLst>
            <a:ext uri="{FF2B5EF4-FFF2-40B4-BE49-F238E27FC236}">
              <a16:creationId xmlns:a16="http://schemas.microsoft.com/office/drawing/2014/main" xmlns="" id="{00000000-0008-0000-3200-00001E000000}"/>
            </a:ext>
          </a:extLst>
        </xdr:cNvPr>
        <xdr:cNvCxnSpPr/>
      </xdr:nvCxnSpPr>
      <xdr:spPr>
        <a:xfrm flipV="1">
          <a:off x="8077200" y="8477250"/>
          <a:ext cx="0" cy="33337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104776</xdr:colOff>
      <xdr:row>36</xdr:row>
      <xdr:rowOff>57150</xdr:rowOff>
    </xdr:from>
    <xdr:to>
      <xdr:col>7</xdr:col>
      <xdr:colOff>438150</xdr:colOff>
      <xdr:row>40</xdr:row>
      <xdr:rowOff>47625</xdr:rowOff>
    </xdr:to>
    <xdr:cxnSp macro="">
      <xdr:nvCxnSpPr>
        <xdr:cNvPr id="31" name="Straight Arrow Connector 30">
          <a:extLst>
            <a:ext uri="{FF2B5EF4-FFF2-40B4-BE49-F238E27FC236}">
              <a16:creationId xmlns:a16="http://schemas.microsoft.com/office/drawing/2014/main" xmlns="" id="{00000000-0008-0000-3200-00001F000000}"/>
            </a:ext>
          </a:extLst>
        </xdr:cNvPr>
        <xdr:cNvCxnSpPr/>
      </xdr:nvCxnSpPr>
      <xdr:spPr>
        <a:xfrm flipH="1">
          <a:off x="8543926" y="9477375"/>
          <a:ext cx="685799" cy="110490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295275</xdr:colOff>
      <xdr:row>32</xdr:row>
      <xdr:rowOff>28575</xdr:rowOff>
    </xdr:from>
    <xdr:to>
      <xdr:col>5</xdr:col>
      <xdr:colOff>295275</xdr:colOff>
      <xdr:row>32</xdr:row>
      <xdr:rowOff>361949</xdr:rowOff>
    </xdr:to>
    <xdr:cxnSp macro="">
      <xdr:nvCxnSpPr>
        <xdr:cNvPr id="32" name="Straight Arrow Connector 31">
          <a:extLst>
            <a:ext uri="{FF2B5EF4-FFF2-40B4-BE49-F238E27FC236}">
              <a16:creationId xmlns:a16="http://schemas.microsoft.com/office/drawing/2014/main" xmlns="" id="{00000000-0008-0000-3200-000020000000}"/>
            </a:ext>
          </a:extLst>
        </xdr:cNvPr>
        <xdr:cNvCxnSpPr/>
      </xdr:nvCxnSpPr>
      <xdr:spPr>
        <a:xfrm flipV="1">
          <a:off x="8048625" y="8048625"/>
          <a:ext cx="0" cy="161924"/>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314325</xdr:colOff>
      <xdr:row>30</xdr:row>
      <xdr:rowOff>38100</xdr:rowOff>
    </xdr:from>
    <xdr:to>
      <xdr:col>5</xdr:col>
      <xdr:colOff>314325</xdr:colOff>
      <xdr:row>30</xdr:row>
      <xdr:rowOff>371474</xdr:rowOff>
    </xdr:to>
    <xdr:cxnSp macro="">
      <xdr:nvCxnSpPr>
        <xdr:cNvPr id="33" name="Straight Arrow Connector 32">
          <a:extLst>
            <a:ext uri="{FF2B5EF4-FFF2-40B4-BE49-F238E27FC236}">
              <a16:creationId xmlns:a16="http://schemas.microsoft.com/office/drawing/2014/main" xmlns="" id="{00000000-0008-0000-3200-000021000000}"/>
            </a:ext>
          </a:extLst>
        </xdr:cNvPr>
        <xdr:cNvCxnSpPr/>
      </xdr:nvCxnSpPr>
      <xdr:spPr>
        <a:xfrm flipV="1">
          <a:off x="8067675" y="7677150"/>
          <a:ext cx="0" cy="152399"/>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xdr:colOff>
      <xdr:row>40</xdr:row>
      <xdr:rowOff>114300</xdr:rowOff>
    </xdr:from>
    <xdr:to>
      <xdr:col>4</xdr:col>
      <xdr:colOff>323850</xdr:colOff>
      <xdr:row>40</xdr:row>
      <xdr:rowOff>114300</xdr:rowOff>
    </xdr:to>
    <xdr:cxnSp macro="">
      <xdr:nvCxnSpPr>
        <xdr:cNvPr id="36" name="Straight Arrow Connector 35">
          <a:extLst>
            <a:ext uri="{FF2B5EF4-FFF2-40B4-BE49-F238E27FC236}">
              <a16:creationId xmlns:a16="http://schemas.microsoft.com/office/drawing/2014/main" xmlns="" id="{00000000-0008-0000-3200-000024000000}"/>
            </a:ext>
          </a:extLst>
        </xdr:cNvPr>
        <xdr:cNvCxnSpPr/>
      </xdr:nvCxnSpPr>
      <xdr:spPr>
        <a:xfrm>
          <a:off x="6400800" y="10648950"/>
          <a:ext cx="1266825"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36</xdr:row>
      <xdr:rowOff>85725</xdr:rowOff>
    </xdr:from>
    <xdr:to>
      <xdr:col>7</xdr:col>
      <xdr:colOff>238125</xdr:colOff>
      <xdr:row>37</xdr:row>
      <xdr:rowOff>266701</xdr:rowOff>
    </xdr:to>
    <xdr:cxnSp macro="">
      <xdr:nvCxnSpPr>
        <xdr:cNvPr id="37" name="Straight Arrow Connector 36">
          <a:extLst>
            <a:ext uri="{FF2B5EF4-FFF2-40B4-BE49-F238E27FC236}">
              <a16:creationId xmlns:a16="http://schemas.microsoft.com/office/drawing/2014/main" xmlns="" id="{00000000-0008-0000-3200-000025000000}"/>
            </a:ext>
          </a:extLst>
        </xdr:cNvPr>
        <xdr:cNvCxnSpPr/>
      </xdr:nvCxnSpPr>
      <xdr:spPr>
        <a:xfrm flipV="1">
          <a:off x="8277225" y="9505950"/>
          <a:ext cx="752475" cy="371476"/>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257175</xdr:colOff>
      <xdr:row>9</xdr:row>
      <xdr:rowOff>123824</xdr:rowOff>
    </xdr:from>
    <xdr:to>
      <xdr:col>8</xdr:col>
      <xdr:colOff>285750</xdr:colOff>
      <xdr:row>17</xdr:row>
      <xdr:rowOff>152400</xdr:rowOff>
    </xdr:to>
    <xdr:cxnSp macro="">
      <xdr:nvCxnSpPr>
        <xdr:cNvPr id="39" name="Straight Arrow Connector 38">
          <a:extLst>
            <a:ext uri="{FF2B5EF4-FFF2-40B4-BE49-F238E27FC236}">
              <a16:creationId xmlns:a16="http://schemas.microsoft.com/office/drawing/2014/main" xmlns="" id="{00000000-0008-0000-3200-000027000000}"/>
            </a:ext>
          </a:extLst>
        </xdr:cNvPr>
        <xdr:cNvCxnSpPr/>
      </xdr:nvCxnSpPr>
      <xdr:spPr>
        <a:xfrm flipH="1">
          <a:off x="5133975" y="2247899"/>
          <a:ext cx="28575" cy="323850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17</xdr:row>
      <xdr:rowOff>114300</xdr:rowOff>
    </xdr:from>
    <xdr:to>
      <xdr:col>8</xdr:col>
      <xdr:colOff>266700</xdr:colOff>
      <xdr:row>17</xdr:row>
      <xdr:rowOff>123825</xdr:rowOff>
    </xdr:to>
    <xdr:cxnSp macro="">
      <xdr:nvCxnSpPr>
        <xdr:cNvPr id="41" name="Straight Arrow Connector 40">
          <a:extLst>
            <a:ext uri="{FF2B5EF4-FFF2-40B4-BE49-F238E27FC236}">
              <a16:creationId xmlns:a16="http://schemas.microsoft.com/office/drawing/2014/main" xmlns="" id="{00000000-0008-0000-3200-000029000000}"/>
            </a:ext>
          </a:extLst>
        </xdr:cNvPr>
        <xdr:cNvCxnSpPr/>
      </xdr:nvCxnSpPr>
      <xdr:spPr>
        <a:xfrm flipH="1">
          <a:off x="3667125" y="5448300"/>
          <a:ext cx="1476375" cy="952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428625</xdr:colOff>
      <xdr:row>46</xdr:row>
      <xdr:rowOff>38100</xdr:rowOff>
    </xdr:from>
    <xdr:to>
      <xdr:col>11</xdr:col>
      <xdr:colOff>161925</xdr:colOff>
      <xdr:row>93</xdr:row>
      <xdr:rowOff>146363</xdr:rowOff>
    </xdr:to>
    <xdr:pic>
      <xdr:nvPicPr>
        <xdr:cNvPr id="34" name="Picture 33">
          <a:extLst>
            <a:ext uri="{FF2B5EF4-FFF2-40B4-BE49-F238E27FC236}">
              <a16:creationId xmlns:a16="http://schemas.microsoft.com/office/drawing/2014/main" xmlns="" id="{00000000-0008-0000-3200-000022000000}"/>
            </a:ext>
          </a:extLst>
        </xdr:cNvPr>
        <xdr:cNvPicPr>
          <a:picLocks noChangeAspect="1"/>
        </xdr:cNvPicPr>
      </xdr:nvPicPr>
      <xdr:blipFill rotWithShape="1">
        <a:blip xmlns:r="http://schemas.openxmlformats.org/officeDocument/2006/relationships" r:embed="rId1"/>
        <a:srcRect l="21965" t="25264" r="49847" b="6499"/>
        <a:stretch/>
      </xdr:blipFill>
      <xdr:spPr>
        <a:xfrm>
          <a:off x="428625" y="12001500"/>
          <a:ext cx="6657975" cy="9061763"/>
        </a:xfrm>
        <a:prstGeom prst="rect">
          <a:avLst/>
        </a:prstGeom>
      </xdr:spPr>
    </xdr:pic>
    <xdr:clientData/>
  </xdr:twoCellAnchor>
  <xdr:twoCellAnchor>
    <xdr:from>
      <xdr:col>4</xdr:col>
      <xdr:colOff>103909</xdr:colOff>
      <xdr:row>15</xdr:row>
      <xdr:rowOff>193097</xdr:rowOff>
    </xdr:from>
    <xdr:to>
      <xdr:col>4</xdr:col>
      <xdr:colOff>632114</xdr:colOff>
      <xdr:row>15</xdr:row>
      <xdr:rowOff>398318</xdr:rowOff>
    </xdr:to>
    <xdr:cxnSp macro="">
      <xdr:nvCxnSpPr>
        <xdr:cNvPr id="40" name="Straight Arrow Connector 39">
          <a:extLst>
            <a:ext uri="{FF2B5EF4-FFF2-40B4-BE49-F238E27FC236}">
              <a16:creationId xmlns:a16="http://schemas.microsoft.com/office/drawing/2014/main" xmlns="" id="{00000000-0008-0000-3200-000028000000}"/>
            </a:ext>
          </a:extLst>
        </xdr:cNvPr>
        <xdr:cNvCxnSpPr/>
      </xdr:nvCxnSpPr>
      <xdr:spPr>
        <a:xfrm flipV="1">
          <a:off x="3151909" y="4626552"/>
          <a:ext cx="528205" cy="20522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60613</xdr:colOff>
      <xdr:row>15</xdr:row>
      <xdr:rowOff>245051</xdr:rowOff>
    </xdr:from>
    <xdr:to>
      <xdr:col>7</xdr:col>
      <xdr:colOff>0</xdr:colOff>
      <xdr:row>15</xdr:row>
      <xdr:rowOff>432954</xdr:rowOff>
    </xdr:to>
    <xdr:cxnSp macro="">
      <xdr:nvCxnSpPr>
        <xdr:cNvPr id="42" name="Straight Arrow Connector 41">
          <a:extLst>
            <a:ext uri="{FF2B5EF4-FFF2-40B4-BE49-F238E27FC236}">
              <a16:creationId xmlns:a16="http://schemas.microsoft.com/office/drawing/2014/main" xmlns="" id="{00000000-0008-0000-3200-00002A000000}"/>
            </a:ext>
          </a:extLst>
        </xdr:cNvPr>
        <xdr:cNvCxnSpPr/>
      </xdr:nvCxnSpPr>
      <xdr:spPr>
        <a:xfrm flipH="1" flipV="1">
          <a:off x="4528704" y="4678506"/>
          <a:ext cx="632114" cy="187903"/>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20Report%20Kanchan%20Agr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AGROBABA\Project%20report\SMART%20PROJECT\Business%20calculator%20DI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Desktop%2017%20oct%202019\Krushna%20dal%20mill\AGROBABA\Project%20report\Project%20&amp;%20CMA%2011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VISHVJEET/Akola/dpr_aatamnirbharfpc/Atmanirbhar%20FPC%20-%20Revise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Nikhil/Desktop/VISHVJEET/Chaskarji/Dharti%20FPC/Dharti%20FP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Smart%20Project\Business%20calculator%20-%2010%20Dec%2021new.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mart%20Project\Business%20calculator%20-%20&#2406;&#2409;%20Dec%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inpc\c\Documents%20and%20Settings\a.s.daga\My%20Documents\Charbhuja%20Trading%20&amp;%20Agencies%20Pvt%20Ltd\Project%20Report\Project%20Report\Copy%20of%20Project%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MA/STATE%20BANK%20OF%20INDIA%20CMA-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pserver\my%20documents\A.S.Daga%20&amp;%20Co\Wadhwani%20Cold%20Storage%20&amp;%20Ice%20Plant%20(P)%20Ltd\NEW%20PLANT%20PROJECT\Project%20Report%20(Cold%20Storage)%20Revis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ikhil/Desktop/VISHVJEET/Vishwajeet/Vishvjeet/Vishu/Seed%20Processing/Pariwart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PSERVER\My%20Documents\A.S.Daga%20&amp;%20Co\Dhanashrimata%20Agro%20Farm%20Pvt.%20%20Ltd\Project%20Report%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esktop%2017%20oct%202019\Krushna%20dal%20mill\Latish%20Document\Final%20Project%20Submited%20to%20DIC\Final%20Project%20Submited%20to%20DIC\DPRPACKAGE%2050%20lakh%20-%20Copy2%20-%20Cop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esktop%2017%20oct%202019\Krushna%20dal%20mill\AGROBABA\Project%20report\SMART%20PROJECT\Business%20calculator%20DIC.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Book7"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receipts"/>
      <sheetName val="capacity"/>
      <sheetName val="production"/>
      <sheetName val="annual cap"/>
      <sheetName val="ANN RECP"/>
      <sheetName val="COP "/>
      <sheetName val="Basic sheet"/>
      <sheetName val="-bldg &amp; P&amp;m"/>
      <sheetName val="PP &amp; FF"/>
      <sheetName val="Prof."/>
      <sheetName val="IT"/>
      <sheetName val="BS"/>
      <sheetName val="CASH FLOW"/>
      <sheetName val="Ratio"/>
      <sheetName val="new bep"/>
      <sheetName val="power"/>
      <sheetName val="Sales &amp; exp."/>
      <sheetName val="SLM"/>
      <sheetName val="WDV"/>
      <sheetName val="HL"/>
      <sheetName val="Annex"/>
      <sheetName val="NEW REPAYMENT SCH"/>
      <sheetName val="NO USE"/>
      <sheetName val="NO USE1"/>
      <sheetName val="NO2"/>
      <sheetName val="NO3"/>
      <sheetName val="no use-BEP &amp; WC"/>
      <sheetName val="no use-REPAY SCH"/>
      <sheetName val="No use-MP &amp; 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te for users"/>
      <sheetName val="COMPANY INTRO"/>
      <sheetName val="Cost of Project"/>
      <sheetName val="Dal Mill"/>
      <sheetName val="Grains Processing"/>
      <sheetName val="Sheet4"/>
      <sheetName val="Warehouse"/>
      <sheetName val="1.Project Cost and MOF"/>
      <sheetName val="2.Capex Details"/>
      <sheetName val="3.Other Exp &amp; Taxes"/>
      <sheetName val="4.TL repayment sch"/>
      <sheetName val="5.Closing Stock &amp; W Capital"/>
      <sheetName val="6.Cons Profit &amp; Loss"/>
      <sheetName val="7.Balance Sheet"/>
      <sheetName val="8.Cash Flow "/>
      <sheetName val="9. Financial indiacators"/>
      <sheetName val="10.Grain Production details"/>
      <sheetName val="11.F&amp;V Crop Production details"/>
      <sheetName val="12.Facility 1 - Trading"/>
      <sheetName val="13.Facility 2 Grain Processing"/>
      <sheetName val="14. Facility 3 Warehouse"/>
      <sheetName val="15. Facility 4 Custom Hiring"/>
      <sheetName val="16.Facility 5 Agri Input"/>
      <sheetName val="17.Facility 6 Horti Processing "/>
    </sheetNames>
    <sheetDataSet>
      <sheetData sheetId="0"/>
      <sheetData sheetId="1"/>
      <sheetData sheetId="2"/>
      <sheetData sheetId="3"/>
      <sheetData sheetId="4"/>
      <sheetData sheetId="5"/>
      <sheetData sheetId="6"/>
      <sheetData sheetId="7"/>
      <sheetData sheetId="8"/>
      <sheetData sheetId="9">
        <row r="2">
          <cell r="B2" t="str">
            <v>Land and Building</v>
          </cell>
        </row>
        <row r="20">
          <cell r="B20" t="str">
            <v>Machinery and Equipment</v>
          </cell>
        </row>
        <row r="87">
          <cell r="B87" t="str">
            <v>Furniture and Fixture</v>
          </cell>
        </row>
        <row r="101">
          <cell r="B101" t="str">
            <v>IT &amp; It Infrastracture</v>
          </cell>
        </row>
        <row r="115">
          <cell r="B115" t="str">
            <v>Transport vehical  (Refer van and other)</v>
          </cell>
        </row>
        <row r="127">
          <cell r="B127" t="str">
            <v>Preliminary Expenses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Project"/>
      <sheetName val="Assumption"/>
      <sheetName val=" CMA"/>
      <sheetName val="Depreciation as IT Act"/>
      <sheetName val="Term Loan"/>
    </sheetNames>
    <sheetDataSet>
      <sheetData sheetId="0"/>
      <sheetData sheetId="1">
        <row r="27">
          <cell r="G27">
            <v>6054000</v>
          </cell>
        </row>
        <row r="45">
          <cell r="A45" t="str">
            <v>Capital Subsidy/ Benefit from other Central/ State Scheme</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for users"/>
      <sheetName val="1.Project Cost and MOF"/>
      <sheetName val="2.Capex Details"/>
      <sheetName val="3.Other Exp &amp; Taxes"/>
      <sheetName val="Sheet1"/>
      <sheetName val="4.TL repayment sch"/>
      <sheetName val="5.Closing Stock &amp; W Capital"/>
      <sheetName val="6.Cons Profit &amp; Loss"/>
      <sheetName val="7.Balance Sheet"/>
      <sheetName val="8.Cash Flow "/>
      <sheetName val="9.1 Financial indiacators"/>
      <sheetName val="10.Grain Production details"/>
      <sheetName val="11.F&amp;V Crop Production details"/>
      <sheetName val="12.Facility 1 - Grading and Sor"/>
      <sheetName val="13.Facility 2 Grading &amp; Sorting"/>
      <sheetName val="14. Facility 3 Onion Storage"/>
      <sheetName val="15. Facility 4 Custom Hiring"/>
      <sheetName val="16.Facility 5 Agri Input"/>
      <sheetName val="17.Facility 6 Dehydertaed Onio "/>
      <sheetName val="VGF"/>
      <sheetName val="Output"/>
    </sheetNames>
    <sheetDataSet>
      <sheetData sheetId="0"/>
      <sheetData sheetId="1"/>
      <sheetData sheetId="2">
        <row r="89">
          <cell r="F89">
            <v>0</v>
          </cell>
        </row>
        <row r="111">
          <cell r="F111">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and and Building"/>
      <sheetName val="Machinery and Equipment"/>
      <sheetName val="Total Cost of Project"/>
      <sheetName val="Means of Finance"/>
      <sheetName val="Working Capital"/>
      <sheetName val="Operational Expenses"/>
      <sheetName val="Revenue Schedule"/>
      <sheetName val="Depreciation"/>
      <sheetName val="Term Loan"/>
      <sheetName val="Tax"/>
      <sheetName val="P&amp;L"/>
      <sheetName val="Cash Flow"/>
      <sheetName val="Balance Sheet"/>
      <sheetName val="Financial Indicators"/>
      <sheetName val="Output"/>
    </sheetNames>
    <sheetDataSet>
      <sheetData sheetId="0"/>
      <sheetData sheetId="1"/>
      <sheetData sheetId="2"/>
      <sheetData sheetId="3">
        <row r="3">
          <cell r="C3" t="str">
            <v>Land and Building</v>
          </cell>
        </row>
        <row r="4">
          <cell r="C4" t="str">
            <v>Machinery and Equipment</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Electricity &amp; Water"/>
      <sheetName val="FFP"/>
      <sheetName val="Cover Page"/>
      <sheetName val="Quotation"/>
      <sheetName val="COMPANY INTRO"/>
      <sheetName val="Note for users"/>
      <sheetName val="Dal Mill"/>
      <sheetName val="Grains Processing"/>
      <sheetName val="Sheet4"/>
      <sheetName val="Warehouse"/>
      <sheetName val="Cost of Project"/>
      <sheetName val="1.Project Cost and MOF (2)"/>
      <sheetName val="1.Project Cost and MOF old"/>
      <sheetName val="2.Capex Details"/>
      <sheetName val="3.Other Exp &amp; Taxes"/>
      <sheetName val="4.TL repayment sch"/>
      <sheetName val="5.Closing Stock &amp; W Capital"/>
      <sheetName val="FFP (2)"/>
      <sheetName val="6.Cons Profit &amp; Loss"/>
      <sheetName val="7.Balance Sheet"/>
      <sheetName val="8.Cash Flow "/>
      <sheetName val="9. Financial indiacators"/>
      <sheetName val="10.Grain Production details"/>
      <sheetName val="11.F&amp;V Crop Production details"/>
      <sheetName val="12.Facility 1 - Trading"/>
      <sheetName val="13.Facility 2 Grain Processing"/>
      <sheetName val="14. Facility 3 Warehouse"/>
      <sheetName val="15. Facility 4 Custom Hiring"/>
      <sheetName val="16.Facility 5 Agri Input"/>
      <sheetName val="17.Facility 6 Horti Processing "/>
      <sheetName val="Conclusion "/>
      <sheetName val="Proposaed Value Ch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8">
          <cell r="B8">
            <v>200</v>
          </cell>
        </row>
        <row r="180">
          <cell r="C180">
            <v>7150</v>
          </cell>
        </row>
        <row r="181">
          <cell r="C181">
            <v>6520</v>
          </cell>
        </row>
        <row r="184">
          <cell r="C184">
            <v>1520</v>
          </cell>
        </row>
        <row r="186">
          <cell r="C186">
            <v>2000</v>
          </cell>
        </row>
        <row r="189">
          <cell r="C189">
            <v>2300</v>
          </cell>
        </row>
        <row r="190">
          <cell r="C190">
            <v>5280</v>
          </cell>
        </row>
        <row r="191">
          <cell r="C191">
            <v>2250</v>
          </cell>
        </row>
        <row r="192">
          <cell r="C192">
            <v>1540</v>
          </cell>
        </row>
        <row r="287">
          <cell r="A287" t="str">
            <v>Daily Lobour</v>
          </cell>
          <cell r="B287">
            <v>5</v>
          </cell>
          <cell r="C287">
            <v>300</v>
          </cell>
        </row>
        <row r="288">
          <cell r="A288" t="str">
            <v>Electricity Charges</v>
          </cell>
          <cell r="B288">
            <v>240</v>
          </cell>
          <cell r="C288">
            <v>9</v>
          </cell>
        </row>
        <row r="289">
          <cell r="A289" t="str">
            <v>Gunny Bags/100 Kg</v>
          </cell>
          <cell r="C289">
            <v>30</v>
          </cell>
        </row>
        <row r="290">
          <cell r="A290" t="str">
            <v>Transporation Cost/100 Kg</v>
          </cell>
          <cell r="C290">
            <v>50</v>
          </cell>
        </row>
        <row r="291">
          <cell r="A291" t="str">
            <v>Repaires &amp; Maintanance</v>
          </cell>
          <cell r="C291">
            <v>30</v>
          </cell>
        </row>
        <row r="299">
          <cell r="A299" t="str">
            <v>Manager</v>
          </cell>
          <cell r="B299">
            <v>1</v>
          </cell>
          <cell r="C299">
            <v>15000</v>
          </cell>
        </row>
        <row r="301">
          <cell r="A301" t="str">
            <v>Machine Operator</v>
          </cell>
          <cell r="B301">
            <v>1</v>
          </cell>
          <cell r="C301">
            <v>15000</v>
          </cell>
        </row>
        <row r="302">
          <cell r="A302" t="str">
            <v>Fixed Labour</v>
          </cell>
          <cell r="B302">
            <v>2</v>
          </cell>
          <cell r="C302">
            <v>300</v>
          </cell>
        </row>
      </sheetData>
      <sheetData sheetId="27"/>
      <sheetData sheetId="28"/>
      <sheetData sheetId="29"/>
      <sheetData sheetId="30"/>
      <sheetData sheetId="31"/>
      <sheetData sheetId="32"/>
      <sheetData sheetId="3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Electricity &amp; Water"/>
      <sheetName val="FFP"/>
      <sheetName val="FFP (2)"/>
      <sheetName val="Cover Page"/>
      <sheetName val="Quotation"/>
      <sheetName val="COMPANY INTRO"/>
      <sheetName val="Note for users"/>
      <sheetName val="Dal Mill"/>
      <sheetName val="Grains Processing"/>
      <sheetName val="Sheet4"/>
      <sheetName val="Warehouse"/>
      <sheetName val="Cost of Project"/>
      <sheetName val="1.Project Cost and MOF (2)"/>
      <sheetName val="1.Project Cost and MOF old"/>
      <sheetName val="2.Capex Details"/>
      <sheetName val="3.Other Exp &amp; Taxes"/>
      <sheetName val="4.TL repayment sch"/>
      <sheetName val="5.Closing Stock &amp; W Capital"/>
      <sheetName val="6.Cons Profit &amp; Loss"/>
      <sheetName val="7.Balance Sheet"/>
      <sheetName val="8.Cash Flow "/>
      <sheetName val="9. Financial indiacators"/>
      <sheetName val="10.Grain Production details"/>
      <sheetName val="11.F&amp;V Crop Production details"/>
      <sheetName val="12.Facility 1 - Trading"/>
      <sheetName val="13.Facility 2 Grain Processing"/>
      <sheetName val="14. Facility 3 Warehouse"/>
      <sheetName val="15. Facility 4 Custom Hiring"/>
      <sheetName val="16.Facility 5 Agri Input"/>
      <sheetName val="17.Facility 6 Horti Processing "/>
      <sheetName val="Conclusion "/>
      <sheetName val="Proposaed Value Ch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
          <cell r="H15">
            <v>7022.4</v>
          </cell>
        </row>
      </sheetData>
      <sheetData sheetId="25"/>
      <sheetData sheetId="26"/>
      <sheetData sheetId="27">
        <row r="145">
          <cell r="C145">
            <v>4092</v>
          </cell>
        </row>
        <row r="146">
          <cell r="C146">
            <v>12</v>
          </cell>
        </row>
        <row r="171">
          <cell r="C171">
            <v>4800</v>
          </cell>
        </row>
        <row r="172">
          <cell r="C172">
            <v>7200</v>
          </cell>
        </row>
        <row r="180">
          <cell r="C180">
            <v>1800</v>
          </cell>
        </row>
        <row r="183">
          <cell r="C183">
            <v>2000</v>
          </cell>
        </row>
        <row r="184">
          <cell r="C184">
            <v>1850</v>
          </cell>
        </row>
        <row r="188">
          <cell r="B188">
            <v>4</v>
          </cell>
          <cell r="C188">
            <v>100</v>
          </cell>
        </row>
        <row r="189">
          <cell r="B189">
            <v>5</v>
          </cell>
          <cell r="C189">
            <v>400</v>
          </cell>
        </row>
        <row r="190">
          <cell r="C190">
            <v>9</v>
          </cell>
        </row>
        <row r="206">
          <cell r="B206">
            <v>6</v>
          </cell>
        </row>
      </sheetData>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ance"/>
      <sheetName val="Balance Sheet"/>
      <sheetName val="Profit"/>
      <sheetName val="IRR"/>
      <sheetName val="Cash Flow"/>
      <sheetName val="SALES"/>
      <sheetName val="Raw Mt. Cons"/>
      <sheetName val="Labour"/>
      <sheetName val="Power"/>
      <sheetName val="Cl Stock FG"/>
      <sheetName val="Stores"/>
      <sheetName val="Steam"/>
      <sheetName val="Chemicals"/>
      <sheetName val="Other Mfg Exp"/>
      <sheetName val="Repaira &amp; Maintainance"/>
      <sheetName val="Drums"/>
      <sheetName val="Clearing"/>
      <sheetName val="Interest "/>
      <sheetName val="Depriciation"/>
      <sheetName val="MPBF"/>
      <sheetName val="Ratios"/>
      <sheetName val="Turnover Ratio"/>
      <sheetName val="ISCR"/>
      <sheetName val="DSCR"/>
      <sheetName val="Debt Equity"/>
      <sheetName val="BEP"/>
      <sheetName val="Ratio Summary"/>
      <sheetName val="Graph 1"/>
      <sheetName val="Graph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S"/>
      <sheetName val="OPR.STMT."/>
      <sheetName val="LIAB"/>
      <sheetName val="ASSET"/>
      <sheetName val="F-FLOW"/>
      <sheetName val="LEVELS"/>
      <sheetName val="RATIOS"/>
      <sheetName val="DSCR"/>
      <sheetName val="TL-Int."/>
      <sheetName val="SENSITIVITY "/>
      <sheetName val="FINANCIAL PARAMETERS"/>
      <sheetName val="VAL STMTS"/>
      <sheetName val="NEW CRA"/>
      <sheetName val="CRA TL"/>
    </sheetNames>
    <sheetDataSet>
      <sheetData sheetId="0"/>
      <sheetData sheetId="1"/>
      <sheetData sheetId="2"/>
      <sheetData sheetId="3"/>
      <sheetData sheetId="4"/>
      <sheetData sheetId="5"/>
      <sheetData sheetId="6"/>
      <sheetData sheetId="7"/>
      <sheetData sheetId="8"/>
      <sheetData sheetId="9"/>
      <sheetData sheetId="10"/>
      <sheetData sheetId="11">
        <row r="14">
          <cell r="J14">
            <v>0</v>
          </cell>
        </row>
        <row r="16">
          <cell r="AA16">
            <v>0</v>
          </cell>
          <cell r="AB16">
            <v>4.99E-2</v>
          </cell>
          <cell r="AC16">
            <v>0</v>
          </cell>
        </row>
        <row r="17">
          <cell r="AA17">
            <v>0.05</v>
          </cell>
          <cell r="AB17">
            <v>9.9900000000000003E-2</v>
          </cell>
          <cell r="AC17">
            <v>1</v>
          </cell>
        </row>
        <row r="18">
          <cell r="AA18">
            <v>0.1</v>
          </cell>
          <cell r="AB18">
            <v>0.19989999999999999</v>
          </cell>
          <cell r="AC18">
            <v>2</v>
          </cell>
        </row>
        <row r="19">
          <cell r="AA19">
            <v>0.2</v>
          </cell>
          <cell r="AB19">
            <v>0.2999</v>
          </cell>
          <cell r="AC19">
            <v>3</v>
          </cell>
        </row>
        <row r="20">
          <cell r="AA20">
            <v>0.3</v>
          </cell>
          <cell r="AB20">
            <v>0.39989999999999998</v>
          </cell>
          <cell r="AC20">
            <v>5</v>
          </cell>
        </row>
        <row r="21">
          <cell r="AA21">
            <v>0.4</v>
          </cell>
          <cell r="AC21">
            <v>6</v>
          </cell>
        </row>
        <row r="23">
          <cell r="J23">
            <v>0</v>
          </cell>
        </row>
        <row r="26">
          <cell r="AB26" t="b">
            <v>0</v>
          </cell>
        </row>
        <row r="27">
          <cell r="AB27" t="b">
            <v>0</v>
          </cell>
        </row>
        <row r="28">
          <cell r="AB28" t="b">
            <v>0</v>
          </cell>
        </row>
        <row r="29">
          <cell r="AB29" t="b">
            <v>0</v>
          </cell>
        </row>
        <row r="30">
          <cell r="AB30" t="b">
            <v>0</v>
          </cell>
        </row>
        <row r="33">
          <cell r="J33">
            <v>0</v>
          </cell>
        </row>
        <row r="77">
          <cell r="AA77">
            <v>0</v>
          </cell>
          <cell r="AB77">
            <v>0.02</v>
          </cell>
          <cell r="AC77">
            <v>0</v>
          </cell>
        </row>
        <row r="78">
          <cell r="AA78">
            <v>2.01E-2</v>
          </cell>
          <cell r="AB78">
            <v>3.9899999999999998E-2</v>
          </cell>
          <cell r="AC78">
            <v>-2</v>
          </cell>
        </row>
        <row r="79">
          <cell r="AA79">
            <v>0.04</v>
          </cell>
          <cell r="AB79">
            <v>5.9900000000000002E-2</v>
          </cell>
          <cell r="AC79">
            <v>-4</v>
          </cell>
        </row>
        <row r="80">
          <cell r="AA80">
            <v>0.06</v>
          </cell>
          <cell r="AB80">
            <v>7.9899999999999999E-2</v>
          </cell>
          <cell r="AC80">
            <v>-6</v>
          </cell>
        </row>
        <row r="81">
          <cell r="AA81">
            <v>0.08</v>
          </cell>
          <cell r="AB81">
            <v>9.9900000000000003E-2</v>
          </cell>
          <cell r="AC81">
            <v>-8</v>
          </cell>
        </row>
        <row r="82">
          <cell r="AA82">
            <v>0.1</v>
          </cell>
          <cell r="AB82">
            <v>1.5</v>
          </cell>
          <cell r="AC82">
            <v>-10</v>
          </cell>
        </row>
      </sheetData>
      <sheetData sheetId="12">
        <row r="56">
          <cell r="AG56" t="str">
            <v>1. World class technology and capability systems or tie up with a world class major. The Company is capable to withstand competition.  Or</v>
          </cell>
          <cell r="AL56">
            <v>4</v>
          </cell>
        </row>
        <row r="57">
          <cell r="AG57" t="str">
            <v>2. The company has a proven technology to withstand competition. Or</v>
          </cell>
          <cell r="AL57">
            <v>4</v>
          </cell>
        </row>
        <row r="58">
          <cell r="AG58" t="str">
            <v>3. The technological capability to be built-up by the new company would enable it to withstand competition.</v>
          </cell>
          <cell r="AL58">
            <v>4</v>
          </cell>
        </row>
        <row r="59">
          <cell r="AG59" t="str">
            <v>4. The existing technology is adequate to a great extent and not subject to any vast changes in medium term. The company can sustain competition for sometime. Or</v>
          </cell>
          <cell r="AL59">
            <v>2</v>
          </cell>
        </row>
        <row r="60">
          <cell r="AG60" t="str">
            <v>5. The existing technology allows the company to meet the demands of competition to some extent .   Or</v>
          </cell>
          <cell r="AL60">
            <v>2</v>
          </cell>
        </row>
        <row r="61">
          <cell r="AG61" t="str">
            <v>6. The technological base designed for the new company would be sufficient enough to enable them to compete in the market for some time.</v>
          </cell>
          <cell r="AL61">
            <v>2</v>
          </cell>
        </row>
        <row r="62">
          <cell r="AG62" t="str">
            <v>7. Obsolete technology. The coy lacks financial capability/will to undertake technology-upgradation and hence is unable to withstand competition in the event of even moderate fluctuations. Or</v>
          </cell>
          <cell r="AL62">
            <v>0</v>
          </cell>
        </row>
        <row r="63">
          <cell r="AG63" t="str">
            <v>8. The technological plan of the new company is obsolete and it would be difficult for it to compete in the market to sustain their operations.</v>
          </cell>
          <cell r="AL63">
            <v>0</v>
          </cell>
        </row>
        <row r="66">
          <cell r="AG66" t="str">
            <v>1.The current capacity util. is 30% above BEP.</v>
          </cell>
          <cell r="AL66">
            <v>2</v>
          </cell>
        </row>
        <row r="67">
          <cell r="AG67" t="str">
            <v>2.The projected cap. utilisation  for the new company is 30% above BEP.</v>
          </cell>
          <cell r="AL67">
            <v>2</v>
          </cell>
        </row>
        <row r="68">
          <cell r="AG68" t="str">
            <v>3. The existing cap. util. is 20% above BEP Or</v>
          </cell>
          <cell r="AL68">
            <v>1</v>
          </cell>
        </row>
        <row r="69">
          <cell r="AG69" t="str">
            <v>4. The capacity util. Proj. for the new company is 20% above BEP.</v>
          </cell>
          <cell r="AL69">
            <v>1</v>
          </cell>
        </row>
        <row r="70">
          <cell r="AG70" t="str">
            <v>5. The existg cap.  util. is less than 20% over BEP.</v>
          </cell>
          <cell r="AL70">
            <v>0</v>
          </cell>
        </row>
        <row r="71">
          <cell r="AG71" t="str">
            <v>6.The cap. util. projected for the new company is less than 20% above BEP.</v>
          </cell>
          <cell r="AL71">
            <v>0</v>
          </cell>
        </row>
        <row r="74">
          <cell r="AG74" t="str">
            <v>1. Full compliance of Environment regulations. Or</v>
          </cell>
          <cell r="AL74">
            <v>2</v>
          </cell>
        </row>
        <row r="75">
          <cell r="AG75" t="str">
            <v>2. The project report of the new company envisages full compliance of environment regulations before the start of commercial production.</v>
          </cell>
          <cell r="AL75">
            <v>2</v>
          </cell>
        </row>
        <row r="76">
          <cell r="AG76" t="str">
            <v>3. Partial compliance of Environment regulations Or</v>
          </cell>
          <cell r="AL76">
            <v>1</v>
          </cell>
        </row>
        <row r="77">
          <cell r="AG77" t="str">
            <v>4. The new company is not expected to be fully compliant with the environment regulations before the start of commercial production.</v>
          </cell>
          <cell r="AL77">
            <v>1</v>
          </cell>
        </row>
        <row r="78">
          <cell r="AG78" t="str">
            <v>5. Lopsided compliance/utter disregard of Environment regulations. Or</v>
          </cell>
          <cell r="AL78">
            <v>0</v>
          </cell>
        </row>
        <row r="79">
          <cell r="AG79" t="str">
            <v>6. The compliance of environmental regulations have not been touched upon in the project report of the new company/the project report is sketchy about the compliance of environmental regulations.</v>
          </cell>
          <cell r="AL79">
            <v>0</v>
          </cell>
        </row>
        <row r="82">
          <cell r="AG82" t="str">
            <v>1. Product of wide acceptance/uses. The product is distinctive. There are no complaints about rejection of the products. The delivery schedules of products are adhered to. Or</v>
          </cell>
          <cell r="AL82">
            <v>2</v>
          </cell>
        </row>
        <row r="83">
          <cell r="AG83" t="str">
            <v xml:space="preserve">2. The products of the company have an edge over others; the chances of rejection are expected to be  minimum. </v>
          </cell>
          <cell r="AL83">
            <v>2</v>
          </cell>
        </row>
        <row r="84">
          <cell r="AG84" t="str">
            <v>3. User of product have not many substitutes. There are only a few instances of rejections and by and large the company are able to adhere to the delivery schedules. Or</v>
          </cell>
          <cell r="AL84">
            <v>1</v>
          </cell>
        </row>
        <row r="85">
          <cell r="AG85" t="str">
            <v>4. The products of the new company are expected to be well accepted to sustain in the market.</v>
          </cell>
          <cell r="AL85">
            <v>1</v>
          </cell>
        </row>
        <row r="86">
          <cell r="AG86" t="str">
            <v>5. The product is custom made to specifications and has no alternative use. The company is unable to meet the delivery schedule. Frequent rejection of company’s product. Or</v>
          </cell>
          <cell r="AL86">
            <v>0</v>
          </cell>
        </row>
        <row r="87">
          <cell r="AG87" t="str">
            <v>6. The proposed product profile of the new companies is of a general nature and the user has other alternative substitutes in case of rejections.</v>
          </cell>
          <cell r="AL87">
            <v>0</v>
          </cell>
        </row>
        <row r="90">
          <cell r="AG90" t="str">
            <v>1. The record of the company in maintaining the quality of its products is exc-ellent. Sales rejections on account of poor quality are almost non-existent. Or</v>
          </cell>
          <cell r="AL90">
            <v>4</v>
          </cell>
        </row>
        <row r="91">
          <cell r="AG91" t="str">
            <v>2. The company is having ISO certification. Or</v>
          </cell>
          <cell r="AL91">
            <v>4</v>
          </cell>
        </row>
        <row r="92">
          <cell r="AG92" t="str">
            <v>3. The proposed operations of the new company are geared towards obtaining an ISO certification on account of their stress on maintaining highest quality standards/consistency in quality is to be the hallmark of their operations.</v>
          </cell>
          <cell r="AL92">
            <v>4</v>
          </cell>
        </row>
        <row r="93">
          <cell r="AG93" t="str">
            <v>4. The record of the company in maintaining the quality of its products is good. There are only a few cases of sales rejections.  There is no ISO certification. Or</v>
          </cell>
          <cell r="AL93">
            <v>2</v>
          </cell>
        </row>
        <row r="94">
          <cell r="AG94" t="str">
            <v>5. Although the proposal of the new company does not talk of obtaining ISO certification as one of its goals, there is enough stress on maintaining consistency in quality of its product.</v>
          </cell>
          <cell r="AL94">
            <v>2</v>
          </cell>
        </row>
        <row r="95">
          <cell r="AG95" t="str">
            <v xml:space="preserve">6. There is no consistency in quality and there is no anxiety on the part of management to rectify the situation.   Sales rejections on account of poor quality are common. There is no ISO certification. Or </v>
          </cell>
          <cell r="AL95">
            <v>0</v>
          </cell>
        </row>
        <row r="96">
          <cell r="AG96" t="str">
            <v>7. There is neither adequate stress nor any mechanism designed to be built-in for maintaining consistency in quality of the product of the new company.</v>
          </cell>
          <cell r="AL96">
            <v>0</v>
          </cell>
        </row>
        <row r="99">
          <cell r="AG99" t="str">
            <v>1. Wide distribution network for the Company’s products – either its own or in conjunction with others. Or</v>
          </cell>
          <cell r="AL99">
            <v>2</v>
          </cell>
        </row>
        <row r="100">
          <cell r="AG100" t="str">
            <v>2. Although the company does not have a wide distribution network , the sales are increasing year after year.Or</v>
          </cell>
          <cell r="AL100">
            <v>2</v>
          </cell>
        </row>
        <row r="101">
          <cell r="AG101" t="str">
            <v>3. The new company proposes adequate distribution network for marketing and sale of its products. Or</v>
          </cell>
          <cell r="AL101">
            <v>2</v>
          </cell>
        </row>
        <row r="102">
          <cell r="AG102" t="str">
            <v>3. The management of the new company is optimistic about gradual increase in sales year after year on account of the uniqueness of its products and its quality even without a wide distribution network.</v>
          </cell>
          <cell r="AL102">
            <v>2</v>
          </cell>
        </row>
        <row r="103">
          <cell r="AG103" t="str">
            <v>4. Distribution network in important areas but not large enough to penetrate the entire market. Or</v>
          </cell>
          <cell r="AL103">
            <v>1</v>
          </cell>
        </row>
        <row r="104">
          <cell r="AG104" t="str">
            <v>5. Despite a small distribution network, the sales are not declining significantly/show a marginal increase/remain roughly at the same level. Or</v>
          </cell>
          <cell r="AL104">
            <v>1</v>
          </cell>
        </row>
        <row r="105">
          <cell r="AG105" t="str">
            <v>6. The new company proposes a small distribution network for its products.Or</v>
          </cell>
          <cell r="AL105">
            <v>1</v>
          </cell>
        </row>
        <row r="106">
          <cell r="AG106" t="str">
            <v>7. The new company expects a marginal increase in sales even without a chain of distribution network.</v>
          </cell>
          <cell r="AL106">
            <v>1</v>
          </cell>
        </row>
        <row r="107">
          <cell r="AG107" t="str">
            <v xml:space="preserve">8. A feeble distribution structure/no structure of its own and the sales show a declining trend. </v>
          </cell>
          <cell r="AL107">
            <v>0</v>
          </cell>
        </row>
        <row r="110">
          <cell r="AG110" t="str">
            <v>1. Cash inflows adequate to meet company’s requirements (seldom needs overdrawings) and/or on account of a well laid out policy to take care of their unhedged portion of forex  risk , their cashflows  are not going to be affected. Or</v>
          </cell>
          <cell r="AL110">
            <v>4</v>
          </cell>
        </row>
        <row r="111">
          <cell r="AG111" t="str">
            <v>2. The cash inflows proj .by the new coy seem adequate and request for overdrgs is not envisaged and/or on a/c of a well laid out policy to take care of their unhedged portion of forex  risk , their cashflows  are not going to be affected.</v>
          </cell>
          <cell r="AL111">
            <v>4</v>
          </cell>
        </row>
        <row r="112">
          <cell r="AG112" t="str">
            <v>3. Cash  inflows slightly short of company’s projections (sometimes needs overdrawings) and/or the policy to contain the unhedged portion of forex risk has not been firmed up.Or</v>
          </cell>
          <cell r="AL112">
            <v>2</v>
          </cell>
        </row>
        <row r="113">
          <cell r="AG113" t="str">
            <v>4. The projected cash inflows  by the new company falls slightly short of the requirements and hence would require additional assistance to meet this gap and/or the policy to contain the unhedged portion of forex risk has not been firmed up.</v>
          </cell>
          <cell r="AL113">
            <v>2</v>
          </cell>
        </row>
        <row r="114">
          <cell r="AG114" t="str">
            <v>5. Cash inflows are not consistent with the projections (often needs overdrawings) and/or No policy in place to contain unhedged  forex  risk. Or</v>
          </cell>
          <cell r="AL114">
            <v>0</v>
          </cell>
        </row>
        <row r="115">
          <cell r="AG115" t="str">
            <v>6. A scrutiny of the cash flows proj. by the new coy shows that it would be grossly inadequate to meet its requirements and for mtg this gap, it does not have any credible sources to rely on and/or No policy in place to contain unhedged forex  risk.</v>
          </cell>
          <cell r="AL115">
            <v>0</v>
          </cell>
        </row>
        <row r="120">
          <cell r="AG120" t="str">
            <v>1. Turnover growth faster than the industry growth. Or</v>
          </cell>
          <cell r="AL120">
            <v>2</v>
          </cell>
        </row>
        <row r="121">
          <cell r="AG121" t="str">
            <v>2. The turnover growth higher than the industry growth projected for the new company.</v>
          </cell>
          <cell r="AL121">
            <v>2</v>
          </cell>
        </row>
        <row r="122">
          <cell r="AG122" t="str">
            <v>3. Turnover growth remains faster but it is at the level of the industry growth rate. Or</v>
          </cell>
          <cell r="AL122">
            <v>1.5</v>
          </cell>
        </row>
        <row r="123">
          <cell r="AG123" t="str">
            <v>4. Turnover growth at par with the industry growth projected for the new company.</v>
          </cell>
          <cell r="AL123">
            <v>1.5</v>
          </cell>
        </row>
        <row r="124">
          <cell r="AG124" t="str">
            <v>5. Turnover growth remains static, though there is recession in the market. Or</v>
          </cell>
          <cell r="AL124">
            <v>1</v>
          </cell>
        </row>
        <row r="125">
          <cell r="AG125" t="str">
            <v>6. Static turnover growth projected for the new company in view of recession at present in the market.</v>
          </cell>
          <cell r="AL125">
            <v>1</v>
          </cell>
        </row>
        <row r="126">
          <cell r="AG126" t="str">
            <v>7. Turnover growth declining. Or</v>
          </cell>
          <cell r="AL126">
            <v>0</v>
          </cell>
        </row>
        <row r="127">
          <cell r="AG127" t="str">
            <v xml:space="preserve">8. It would be difficult for the new company to compete  in view of the poor turnover growth projected. </v>
          </cell>
          <cell r="AL127">
            <v>0</v>
          </cell>
        </row>
        <row r="130">
          <cell r="AG130" t="str">
            <v>1. Long term prospects of industry are excellent.</v>
          </cell>
          <cell r="AL130">
            <v>2</v>
          </cell>
        </row>
        <row r="131">
          <cell r="AG131" t="str">
            <v>2. Outlook stable except for some critical factors.</v>
          </cell>
          <cell r="AL131">
            <v>1.5</v>
          </cell>
        </row>
        <row r="132">
          <cell r="AG132" t="str">
            <v>3. Susceptible to unfavourable changes in the economy.</v>
          </cell>
          <cell r="AL132">
            <v>1</v>
          </cell>
        </row>
        <row r="133">
          <cell r="AG133" t="str">
            <v>4. Industry in declining phase.</v>
          </cell>
          <cell r="AL133">
            <v>0</v>
          </cell>
        </row>
        <row r="136">
          <cell r="AG136" t="str">
            <v>1. Business operations (BO) remain unaffected by Regulatory Risk.</v>
          </cell>
          <cell r="AL136">
            <v>2</v>
          </cell>
        </row>
        <row r="137">
          <cell r="AG137" t="str">
            <v>2. Effect of Regulatory Risk can be contained.</v>
          </cell>
          <cell r="AL137">
            <v>1.5</v>
          </cell>
        </row>
        <row r="138">
          <cell r="AG138" t="str">
            <v>3. Delicately balanced, Business operations can be affected if immediate steps not taken.</v>
          </cell>
          <cell r="AL138">
            <v>1</v>
          </cell>
        </row>
        <row r="139">
          <cell r="AG139" t="str">
            <v>4. Unable to cope with the situation.</v>
          </cell>
          <cell r="AL139">
            <v>0</v>
          </cell>
        </row>
        <row r="142">
          <cell r="AG142" t="str">
            <v>1. Adequate capability to handle the effects of contemporary issues.</v>
          </cell>
          <cell r="AL142">
            <v>2</v>
          </cell>
        </row>
        <row r="143">
          <cell r="AG143" t="str">
            <v>2. Adequate capability but it requires to be translated into action. Complacency evident.</v>
          </cell>
          <cell r="AL143">
            <v>1.5</v>
          </cell>
        </row>
        <row r="144">
          <cell r="AG144" t="str">
            <v>3. Adhoc response to industry issues.</v>
          </cell>
          <cell r="AL144">
            <v>1</v>
          </cell>
        </row>
        <row r="145">
          <cell r="AG145" t="str">
            <v>4. Not able to cope with.</v>
          </cell>
          <cell r="AL145">
            <v>0</v>
          </cell>
        </row>
        <row r="150">
          <cell r="AG150" t="str">
            <v>1. The integrity and character of the Management is beyond reproach.</v>
          </cell>
          <cell r="AL150">
            <v>3</v>
          </cell>
        </row>
        <row r="151">
          <cell r="AG151" t="str">
            <v>2. The management  is having good reputation about integrity in the market.</v>
          </cell>
          <cell r="AL151">
            <v>2</v>
          </cell>
        </row>
        <row r="152">
          <cell r="AG152" t="str">
            <v>3. Features revealed by reports on conduct of a/c /stock audit/spot audit/ periodic insp. reports go against the integrity of the coy/ The coy is a defaulter under RBI’s wilful defaulters’ list and hence the Bank should exercise exit option.</v>
          </cell>
          <cell r="AL152">
            <v>0</v>
          </cell>
        </row>
        <row r="155">
          <cell r="AG155" t="str">
            <v>1. Corporate governance (CG) systems are in place and are adhered to fully.Or</v>
          </cell>
          <cell r="AL155">
            <v>3</v>
          </cell>
        </row>
        <row r="156">
          <cell r="AG156" t="str">
            <v>2. The new company has envisioned to fully comply with CG systems.</v>
          </cell>
          <cell r="AL156">
            <v>3</v>
          </cell>
        </row>
        <row r="157">
          <cell r="AG157" t="str">
            <v>3. Corporate governance systems are not fully functional/operational.Or</v>
          </cell>
          <cell r="AL157">
            <v>2</v>
          </cell>
        </row>
        <row r="158">
          <cell r="AG158" t="str">
            <v>4. The new company does not have a specific plan to fully comply with CG system/plans for CG systems need further concretisation.</v>
          </cell>
          <cell r="AL158">
            <v>2</v>
          </cell>
        </row>
        <row r="159">
          <cell r="AG159" t="str">
            <v>5. There is a partial implementation of corporate governance system ; sufficient effort is not made Or</v>
          </cell>
          <cell r="AL159">
            <v>0</v>
          </cell>
        </row>
        <row r="160">
          <cell r="AG160" t="str">
            <v>6. There seems to be absolutely no plan for implementation of CG system in the new company.</v>
          </cell>
          <cell r="AL160">
            <v>0</v>
          </cell>
        </row>
        <row r="163">
          <cell r="AG163" t="str">
            <v>1. Maintains financial discipline, absolutely no irregularity in the account. The Management is very sincere and open to any suggestions to bring excellence in the financial management. Or</v>
          </cell>
          <cell r="AL163">
            <v>3</v>
          </cell>
        </row>
        <row r="164">
          <cell r="AG164" t="str">
            <v>2. Although the new company does not have any borrowing arrangement with any bank/FIs , its other accounts say, current account etc. are conducted as per norms and they are open to any suggestions to conform to the rules.</v>
          </cell>
          <cell r="AL164">
            <v>3</v>
          </cell>
        </row>
        <row r="165">
          <cell r="AG165" t="str">
            <v>3. On a few occasions, repayment of loans is delayed. The Management tries to set things right but professional approach in adherence to financial discipline is lacking.  Or</v>
          </cell>
          <cell r="AL165">
            <v>2</v>
          </cell>
        </row>
        <row r="166">
          <cell r="AG166" t="str">
            <v xml:space="preserve">4. By and large the conduct of other accounts of the new company is satisfactory. Professional approach in adherence to financial discipline is lacking. </v>
          </cell>
          <cell r="AL166">
            <v>2</v>
          </cell>
        </row>
        <row r="167">
          <cell r="AG167" t="str">
            <v>5. Accounts are rendered frequently irregular and the company do not respond to counsel to enforce financial discipline. Diversion of funds by routing of sale proceeds through other banks on record.Or</v>
          </cell>
          <cell r="AL167">
            <v>0</v>
          </cell>
        </row>
        <row r="168">
          <cell r="AG168" t="str">
            <v>6. The conduct of other accounts of the new company is not satisfactory and the management is also not responsive to any suggestions for improvement in the same.</v>
          </cell>
          <cell r="AL168">
            <v>0</v>
          </cell>
        </row>
        <row r="171">
          <cell r="AG171" t="str">
            <v>1. An exceptionally high level of competence&amp; commitment evidenced by their record in timely execution of projects as gathered from various market sources including banks/PSUs/ Govt. Deptts. /Multinational Companies. Or</v>
          </cell>
          <cell r="AL171">
            <v>3</v>
          </cell>
        </row>
        <row r="172">
          <cell r="AG172" t="str">
            <v>2. An exceptionally high level of competence &amp; commitment in respect of new company as gathered from market sources.</v>
          </cell>
          <cell r="AL172">
            <v>3</v>
          </cell>
        </row>
        <row r="173">
          <cell r="AG173" t="str">
            <v>3. Although managerial competence/commitment exists, but due to lack of proper planning/strategy, execution of projects /work undertaken are delayed. Or</v>
          </cell>
          <cell r="AL173">
            <v>2</v>
          </cell>
        </row>
        <row r="174">
          <cell r="AG174" t="str">
            <v>4. Although managerial competence/commitment in the new company exists, market reports suggest lack of a proper plan/strategy for execution of a project/work. A cohesive thrust is lacking.</v>
          </cell>
          <cell r="AL174">
            <v>2</v>
          </cell>
        </row>
        <row r="175">
          <cell r="AG175" t="str">
            <v>5. There is total chaos in the execution of proj./works undertaken, the completion of which are either inord. delayed or not completed at all. Managerial competence totally lacking and no commitment on the part of …... Or</v>
          </cell>
          <cell r="AL175">
            <v>0</v>
          </cell>
        </row>
        <row r="176">
          <cell r="AG176" t="str">
            <v>6. Market reports suggest lack of managerial competence/commitment in the new company set up to continue any venture.</v>
          </cell>
          <cell r="AL176">
            <v>0</v>
          </cell>
        </row>
        <row r="179">
          <cell r="AG179" t="str">
            <v>1. Eminently qualified professionals are working as a cohesive team.</v>
          </cell>
          <cell r="AL179">
            <v>2</v>
          </cell>
        </row>
        <row r="180">
          <cell r="AG180" t="str">
            <v>2. Company has few professionals on its roll and is basically run/managed by non-professional owners.</v>
          </cell>
          <cell r="AL180">
            <v>1</v>
          </cell>
        </row>
        <row r="181">
          <cell r="AG181" t="str">
            <v>3. The management centers around one or two persons only. Professional expertise is lacking.</v>
          </cell>
          <cell r="AL181">
            <v>0</v>
          </cell>
        </row>
        <row r="184">
          <cell r="AG184" t="str">
            <v>1. Excellent budgeting and costing system are in place.  MIS is perfect and working. Or</v>
          </cell>
          <cell r="AL184">
            <v>2</v>
          </cell>
        </row>
        <row r="185">
          <cell r="AG185" t="str">
            <v>2. Design of an excellent budgeting &amp; costing system proposed in the project of the new company.</v>
          </cell>
          <cell r="AL185">
            <v>2</v>
          </cell>
        </row>
        <row r="186">
          <cell r="AG186" t="str">
            <v>3. Although budgeting, costing and MIS are in place, proper implementation efforts are lacking. Or</v>
          </cell>
          <cell r="AL186">
            <v>1</v>
          </cell>
        </row>
        <row r="187">
          <cell r="AG187" t="str">
            <v>4. Although the design of an excellent budgeting &amp; costing system  are proposed in the project of the new company but given the profile of the personnel, there seems to be a concern about their actual implementation.</v>
          </cell>
          <cell r="AL187">
            <v>1</v>
          </cell>
        </row>
        <row r="188">
          <cell r="AG188" t="str">
            <v>5. Systems not in place.  All decisions centre around one person who takes adhoc decisions.  Reporting systems are non-existent. Or</v>
          </cell>
          <cell r="AL188">
            <v>0</v>
          </cell>
        </row>
        <row r="189">
          <cell r="AG189" t="str">
            <v xml:space="preserve">6. All systems in the new company are designed with only one person as the fulcrum without any proper structured set-up to carry out  the planning work in his absence. No reporting system envisaged. </v>
          </cell>
          <cell r="AL189">
            <v>0</v>
          </cell>
        </row>
        <row r="192">
          <cell r="AG192" t="str">
            <v>1. The management has a long experience in the industry ( &gt; = 10 years).</v>
          </cell>
          <cell r="AL192">
            <v>2</v>
          </cell>
        </row>
        <row r="193">
          <cell r="AG193" t="str">
            <v>2. The management has a moderate experience in the line(&gt;=5 years).</v>
          </cell>
          <cell r="AL193">
            <v>1</v>
          </cell>
        </row>
        <row r="194">
          <cell r="AG194" t="str">
            <v>3.  The management has got relatively less experience in the line (&lt;5 years).</v>
          </cell>
          <cell r="AL194">
            <v>0</v>
          </cell>
        </row>
        <row r="197">
          <cell r="AG197" t="str">
            <v>1. The management’s ability in meeting sales projections is beyond doubt as is evidenced by their past record of three years (projected vs. actuals) . There is a negative variance of less than 10% in the comparison.....Or</v>
          </cell>
          <cell r="AL197">
            <v>2</v>
          </cell>
        </row>
        <row r="198">
          <cell r="AG198" t="str">
            <v>2. The management of the new company seems to be capable of  meeting sales projections with a negative variance of  less than 10% as per the plan drawn up by them.</v>
          </cell>
          <cell r="AL198">
            <v>2</v>
          </cell>
        </row>
        <row r="199">
          <cell r="AG199" t="str">
            <v>3. There is a negative variance of 10% and above but less than 20% in the actual v/s the projected sales as is evidenced by their record of past 03 years. Or</v>
          </cell>
          <cell r="AL199">
            <v>1</v>
          </cell>
        </row>
        <row r="200">
          <cell r="AG200" t="str">
            <v>4. The management of the new company seems to be capable of meeting sales projections with a negative variance of less  than  20% or so as per the discussions held with the promoter....</v>
          </cell>
          <cell r="AL200">
            <v>1</v>
          </cell>
        </row>
        <row r="201">
          <cell r="AG201" t="str">
            <v>5. The record of the management in achieving sales projections in the past three years is poor (actual sales less than 80% of projections). Or</v>
          </cell>
          <cell r="AL201">
            <v>0</v>
          </cell>
        </row>
        <row r="202">
          <cell r="AG202" t="str">
            <v>6. A perusal of the proj plan of the new company shows that it would not be able to meet even 80% of its sales projections given the type of products, their demand pattern as also its avg mkt penetrating capabilities as .....</v>
          </cell>
          <cell r="AL202">
            <v>0</v>
          </cell>
        </row>
        <row r="205">
          <cell r="AG205" t="str">
            <v>1. The management’s ability in meeting profit projections is excellent. In the last three years’ record, every year, actuals have either exceeded projections or have shown a negative variance of less than 10%. Or</v>
          </cell>
          <cell r="AL205">
            <v>2</v>
          </cell>
        </row>
        <row r="206">
          <cell r="AG206" t="str">
            <v>2. The management of the new company seems to be capable to meet profit projections with a negative variance of  less than 10% or so as per its plan to meet the sales projections and the corresponding margin of profit  in the venture.</v>
          </cell>
          <cell r="AL206">
            <v>2</v>
          </cell>
        </row>
        <row r="207">
          <cell r="AG207" t="str">
            <v>3. The management’s ability in meeting profit projections may be rated as good.  In the last three years’ record, every year, actuals have shown a negative variance of either 10% or more but less than 20%. Or</v>
          </cell>
          <cell r="AL207">
            <v>1</v>
          </cell>
        </row>
        <row r="208">
          <cell r="AG208" t="str">
            <v>4. The management of the new company seems to be capable to meet profit projections with a negative variance of less than 20% or so even in a not too favourable environment as per the plan drawn up by the promoter(s)....in the venture.</v>
          </cell>
          <cell r="AL208">
            <v>1</v>
          </cell>
        </row>
        <row r="209">
          <cell r="AG209" t="str">
            <v>5. The management’s ability in meeting profit projections is poor.  In the last three years’ record, every year, actual profit has always been less than 80% of projections. Or</v>
          </cell>
          <cell r="AL209">
            <v>0</v>
          </cell>
        </row>
        <row r="210">
          <cell r="AG210" t="str">
            <v>6. A perusal of the proposal  of the new company shows that it would  not be able to achieve even  80 % of the profit projections.</v>
          </cell>
          <cell r="AL210">
            <v>0</v>
          </cell>
        </row>
        <row r="213">
          <cell r="AG213" t="str">
            <v>1. The record of meeting commitments to lenders and creditors is excellent. The company have rarely defaulted on this score. Or</v>
          </cell>
          <cell r="AL213">
            <v>2</v>
          </cell>
        </row>
        <row r="214">
          <cell r="AG214" t="str">
            <v>2. Market reports suggest that the new company have an impeccable record in meeting their financial commitments.</v>
          </cell>
          <cell r="AL214">
            <v>2</v>
          </cell>
        </row>
        <row r="215">
          <cell r="AG215" t="str">
            <v>3. The record of meeting commitments to lenders and creditors is good. The Company have defaulted only once/twice on this score. Or</v>
          </cell>
          <cell r="AL215">
            <v>1</v>
          </cell>
        </row>
        <row r="216">
          <cell r="AG216" t="str">
            <v>4. Market reports suggest that by and large, the new company have a   good record in meeting their financial commitments.</v>
          </cell>
          <cell r="AL216">
            <v>1</v>
          </cell>
        </row>
        <row r="217">
          <cell r="AG217" t="str">
            <v>5. The record of meeting commitments to lenders and creditors is poor. The Company  have rarely met their commitments in time. Or</v>
          </cell>
          <cell r="AL217">
            <v>0</v>
          </cell>
        </row>
        <row r="218">
          <cell r="AG218" t="str">
            <v>6.Market reports suggest that the promoters of the new company lack in their resolve in meeting their financial commitments   in time.</v>
          </cell>
          <cell r="AL218">
            <v>0</v>
          </cell>
        </row>
        <row r="221">
          <cell r="AG221" t="str">
            <v>1. The management is proactive in taking well thought out initiatives for creating a leadership position for the company. Or</v>
          </cell>
          <cell r="AL221">
            <v>2</v>
          </cell>
        </row>
        <row r="222">
          <cell r="AG222" t="str">
            <v>2. The management of the company/new company has the requisite capability to make it one of the leading ventures in its line of business.</v>
          </cell>
          <cell r="AL222">
            <v>2</v>
          </cell>
        </row>
        <row r="223">
          <cell r="AG223" t="str">
            <v>3. The management is capable of taking initiatives but the necessary thrust is lacking/seems to be lacking. The leadership position at a particular time is on account of a probability factor and not due to any concerted efforts in this regard. Or</v>
          </cell>
          <cell r="AL223">
            <v>1</v>
          </cell>
        </row>
        <row r="224">
          <cell r="AG224" t="str">
            <v>4. Although the promoter is capable but the necessary thrust seems to be lacking to transform the venture into a frontline one/the current leading position is just by chance and not by any concerted efforts ..leadership statement.</v>
          </cell>
          <cell r="AL224">
            <v>1</v>
          </cell>
        </row>
        <row r="225">
          <cell r="AG225" t="str">
            <v>5. Both the will and the capacity to take any strategic initiative are non-existent.   The survival of the company in the market is merely on account of its past reputation and not on account of any ongoing effort of the mgmt...complacency to survive. Or</v>
          </cell>
          <cell r="AL225">
            <v>0</v>
          </cell>
        </row>
        <row r="226">
          <cell r="AG226" t="str">
            <v>6. A perusal of the project does not yield any vision/capability/strategic statement for transforming the company to a leadership position.</v>
          </cell>
          <cell r="AL226">
            <v>0</v>
          </cell>
        </row>
        <row r="229">
          <cell r="AG229" t="str">
            <v>1. Dealing with the bank for more than 10 years and their conduct is fully satisfactory.</v>
          </cell>
          <cell r="AL229">
            <v>2</v>
          </cell>
        </row>
        <row r="230">
          <cell r="AG230" t="str">
            <v>2. Dealing with the bank for more than 5 years and their conduct is fully satisfactory.</v>
          </cell>
          <cell r="AL230">
            <v>1.5</v>
          </cell>
        </row>
        <row r="231">
          <cell r="AG231" t="str">
            <v>3. Dealing with the bank for more than 10 years /5years and their conduct is by and large satisfactory.</v>
          </cell>
          <cell r="AL231">
            <v>1</v>
          </cell>
        </row>
        <row r="232">
          <cell r="AG232" t="str">
            <v>4. Dealing with the bank for more than 10 years/5years/less than 10 to 5 years and their conduct is not satisfactory.</v>
          </cell>
          <cell r="AL232">
            <v>0</v>
          </cell>
        </row>
      </sheetData>
      <sheetData sheetId="13">
        <row r="4">
          <cell r="AA4">
            <v>1</v>
          </cell>
          <cell r="AB4">
            <v>1</v>
          </cell>
        </row>
        <row r="5">
          <cell r="AA5">
            <v>1.1000000000000001</v>
          </cell>
          <cell r="AB5">
            <v>2</v>
          </cell>
        </row>
        <row r="6">
          <cell r="AA6">
            <v>1.17</v>
          </cell>
          <cell r="AB6">
            <v>3</v>
          </cell>
        </row>
        <row r="7">
          <cell r="AA7">
            <v>1.25</v>
          </cell>
          <cell r="AB7">
            <v>4</v>
          </cell>
        </row>
        <row r="8">
          <cell r="AA8">
            <v>1.33</v>
          </cell>
          <cell r="AB8">
            <v>5</v>
          </cell>
        </row>
        <row r="9">
          <cell r="AA9" t="str">
            <v>TOL/TNW</v>
          </cell>
        </row>
        <row r="10">
          <cell r="AA10">
            <v>0</v>
          </cell>
          <cell r="AB10">
            <v>1.5</v>
          </cell>
          <cell r="AC10">
            <v>5</v>
          </cell>
        </row>
        <row r="11">
          <cell r="AA11">
            <v>1.51</v>
          </cell>
          <cell r="AB11">
            <v>2</v>
          </cell>
          <cell r="AC11">
            <v>3</v>
          </cell>
        </row>
        <row r="12">
          <cell r="AA12">
            <v>2.0099999999999998</v>
          </cell>
          <cell r="AB12">
            <v>2.5</v>
          </cell>
          <cell r="AC12">
            <v>2</v>
          </cell>
        </row>
        <row r="13">
          <cell r="AA13">
            <v>2.5099999999999998</v>
          </cell>
          <cell r="AB13">
            <v>3</v>
          </cell>
          <cell r="AC13">
            <v>1</v>
          </cell>
        </row>
        <row r="14">
          <cell r="AA14">
            <v>3.01</v>
          </cell>
          <cell r="AB14">
            <v>100</v>
          </cell>
          <cell r="AC14">
            <v>0</v>
          </cell>
        </row>
        <row r="17">
          <cell r="AA17">
            <v>2.5</v>
          </cell>
          <cell r="AB17">
            <v>2</v>
          </cell>
        </row>
        <row r="18">
          <cell r="AA18">
            <v>4</v>
          </cell>
          <cell r="AB18">
            <v>4</v>
          </cell>
        </row>
        <row r="19">
          <cell r="AA19">
            <v>4.5</v>
          </cell>
          <cell r="AB19">
            <v>6</v>
          </cell>
        </row>
        <row r="20">
          <cell r="AA20">
            <v>6</v>
          </cell>
          <cell r="AB20">
            <v>8</v>
          </cell>
        </row>
        <row r="21">
          <cell r="AA21">
            <v>7.5</v>
          </cell>
          <cell r="AB21">
            <v>10</v>
          </cell>
        </row>
        <row r="22">
          <cell r="AA22" t="str">
            <v>PBDIT/INTT</v>
          </cell>
        </row>
        <row r="23">
          <cell r="AA23">
            <v>1.49</v>
          </cell>
          <cell r="AB23">
            <v>0</v>
          </cell>
        </row>
        <row r="24">
          <cell r="AA24">
            <v>1.5</v>
          </cell>
          <cell r="AB24">
            <v>1</v>
          </cell>
        </row>
        <row r="25">
          <cell r="AA25">
            <v>2</v>
          </cell>
          <cell r="AB25">
            <v>2</v>
          </cell>
        </row>
        <row r="26">
          <cell r="AA26">
            <v>2.5</v>
          </cell>
          <cell r="AB26">
            <v>3</v>
          </cell>
        </row>
        <row r="27">
          <cell r="AA27">
            <v>3</v>
          </cell>
          <cell r="AB27">
            <v>4</v>
          </cell>
        </row>
        <row r="28">
          <cell r="AA28">
            <v>3.5</v>
          </cell>
          <cell r="AB28">
            <v>5</v>
          </cell>
        </row>
        <row r="30">
          <cell r="AA30">
            <v>0</v>
          </cell>
          <cell r="AB30">
            <v>6.99</v>
          </cell>
          <cell r="AC30">
            <v>0</v>
          </cell>
        </row>
        <row r="31">
          <cell r="AA31">
            <v>7</v>
          </cell>
          <cell r="AB31">
            <v>8.49</v>
          </cell>
          <cell r="AC31">
            <v>1</v>
          </cell>
        </row>
        <row r="32">
          <cell r="AA32">
            <v>8.5</v>
          </cell>
          <cell r="AB32">
            <v>9.99</v>
          </cell>
          <cell r="AC32">
            <v>2</v>
          </cell>
        </row>
        <row r="33">
          <cell r="AA33">
            <v>10</v>
          </cell>
          <cell r="AB33">
            <v>12.49</v>
          </cell>
          <cell r="AC33">
            <v>3</v>
          </cell>
        </row>
        <row r="34">
          <cell r="AA34">
            <v>12.5</v>
          </cell>
          <cell r="AB34">
            <v>14.49</v>
          </cell>
          <cell r="AC34">
            <v>4</v>
          </cell>
        </row>
        <row r="35">
          <cell r="AA35">
            <v>15.5</v>
          </cell>
          <cell r="AB35">
            <v>100</v>
          </cell>
          <cell r="AC35">
            <v>5</v>
          </cell>
        </row>
        <row r="37">
          <cell r="AA37">
            <v>0</v>
          </cell>
          <cell r="AB37">
            <v>90</v>
          </cell>
          <cell r="AC37">
            <v>5</v>
          </cell>
        </row>
        <row r="38">
          <cell r="AA38">
            <v>91</v>
          </cell>
          <cell r="AB38">
            <v>120</v>
          </cell>
          <cell r="AC38">
            <v>4</v>
          </cell>
        </row>
        <row r="39">
          <cell r="AA39">
            <v>121</v>
          </cell>
          <cell r="AB39">
            <v>150</v>
          </cell>
          <cell r="AC39">
            <v>3</v>
          </cell>
        </row>
        <row r="40">
          <cell r="AA40">
            <v>151</v>
          </cell>
          <cell r="AB40">
            <v>180</v>
          </cell>
          <cell r="AC40">
            <v>2</v>
          </cell>
        </row>
        <row r="41">
          <cell r="AA41">
            <v>181</v>
          </cell>
          <cell r="AB41">
            <v>210</v>
          </cell>
          <cell r="AC41">
            <v>1</v>
          </cell>
        </row>
        <row r="42">
          <cell r="AA42">
            <v>211</v>
          </cell>
          <cell r="AC42">
            <v>0</v>
          </cell>
        </row>
        <row r="44">
          <cell r="AA44">
            <v>0</v>
          </cell>
          <cell r="AB44">
            <v>24</v>
          </cell>
          <cell r="AC44" t="str">
            <v>SB-8</v>
          </cell>
        </row>
        <row r="45">
          <cell r="AA45">
            <v>25</v>
          </cell>
          <cell r="AB45">
            <v>34</v>
          </cell>
          <cell r="AC45" t="str">
            <v>SB-7</v>
          </cell>
        </row>
        <row r="46">
          <cell r="AA46">
            <v>35</v>
          </cell>
          <cell r="AB46">
            <v>44</v>
          </cell>
          <cell r="AC46" t="str">
            <v>SB-6</v>
          </cell>
        </row>
        <row r="47">
          <cell r="AA47">
            <v>45</v>
          </cell>
          <cell r="AB47">
            <v>49</v>
          </cell>
          <cell r="AC47" t="str">
            <v>SB-5</v>
          </cell>
        </row>
        <row r="48">
          <cell r="AA48">
            <v>50</v>
          </cell>
          <cell r="AB48">
            <v>64</v>
          </cell>
          <cell r="AC48" t="str">
            <v>SB-4</v>
          </cell>
        </row>
        <row r="49">
          <cell r="AA49">
            <v>65</v>
          </cell>
          <cell r="AB49">
            <v>74</v>
          </cell>
          <cell r="AC49" t="str">
            <v>SB-3</v>
          </cell>
        </row>
        <row r="50">
          <cell r="AA50">
            <v>75</v>
          </cell>
          <cell r="AB50">
            <v>89</v>
          </cell>
          <cell r="AC50" t="str">
            <v>SB-2</v>
          </cell>
        </row>
        <row r="51">
          <cell r="AA51">
            <v>90</v>
          </cell>
          <cell r="AC51" t="str">
            <v>SB-1</v>
          </cell>
        </row>
        <row r="57">
          <cell r="AA57">
            <v>0</v>
          </cell>
          <cell r="AB57">
            <v>1.24</v>
          </cell>
          <cell r="AC57">
            <v>0</v>
          </cell>
        </row>
        <row r="58">
          <cell r="AA58">
            <v>1.25</v>
          </cell>
          <cell r="AB58">
            <v>1.39</v>
          </cell>
          <cell r="AC58">
            <v>1</v>
          </cell>
        </row>
        <row r="59">
          <cell r="AA59">
            <v>1.4</v>
          </cell>
          <cell r="AB59">
            <v>1.59</v>
          </cell>
          <cell r="AC59">
            <v>2</v>
          </cell>
        </row>
        <row r="60">
          <cell r="AA60">
            <v>1.6</v>
          </cell>
          <cell r="AB60">
            <v>1.79</v>
          </cell>
          <cell r="AC60">
            <v>3</v>
          </cell>
        </row>
        <row r="61">
          <cell r="AA61">
            <v>1.8</v>
          </cell>
          <cell r="AB61">
            <v>1.99</v>
          </cell>
          <cell r="AC61">
            <v>4</v>
          </cell>
        </row>
        <row r="62">
          <cell r="AA62">
            <v>2</v>
          </cell>
          <cell r="AC62">
            <v>5</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lance"/>
      <sheetName val="Balance Sheet"/>
      <sheetName val="Profit"/>
      <sheetName val="Cash Flow"/>
      <sheetName val="Sales"/>
      <sheetName val="Labour charges"/>
      <sheetName val="Admin Exp"/>
      <sheetName val="Salary Expenses"/>
      <sheetName val="Power"/>
      <sheetName val="Depriciation"/>
      <sheetName val="Interest TL"/>
      <sheetName val="ISCR"/>
      <sheetName val="DSCR"/>
      <sheetName val="MPBF"/>
      <sheetName val="BEP"/>
      <sheetName val="IRR"/>
      <sheetName val="Debt Equity"/>
      <sheetName val="Turnover Ratio"/>
      <sheetName val="Ratio Summary"/>
      <sheetName val="Graph 1"/>
      <sheetName val="Graph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lance"/>
      <sheetName val="Balance Sheet"/>
      <sheetName val="Profit"/>
      <sheetName val="Exp"/>
      <sheetName val="Ratios"/>
      <sheetName val="Cash Flow"/>
      <sheetName val="Output-Breeder"/>
      <sheetName val="Output-Foundation"/>
      <sheetName val="Closing Stock R.M"/>
      <sheetName val="Closing Stock F.G"/>
      <sheetName val="Sales"/>
      <sheetName val="Purchases"/>
      <sheetName val="Interest "/>
      <sheetName val="Depreciation"/>
      <sheetName val="DSCR"/>
      <sheetName val="MPBF"/>
      <sheetName val="Debt Equity"/>
      <sheetName val="ISCR"/>
      <sheetName val="IRR"/>
      <sheetName val="Turnover Ratio"/>
      <sheetName val="BEP"/>
      <sheetName val="Ratio Summary"/>
      <sheetName val="Graph 1"/>
      <sheetName val="Graph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
      <sheetName val="Glance"/>
      <sheetName val="Balance Sheet"/>
      <sheetName val="Profit"/>
      <sheetName val="Cash Flow"/>
      <sheetName val="Cost of Production"/>
      <sheetName val="Cl Stock"/>
      <sheetName val="Salary"/>
      <sheetName val="Other Indirect Expenses"/>
      <sheetName val="Interest "/>
      <sheetName val="Depriciation"/>
      <sheetName val="DSCR"/>
      <sheetName val="ISCR"/>
      <sheetName val="Ratios"/>
      <sheetName val="Debt Equity"/>
      <sheetName val="Ratio Summary"/>
      <sheetName val="IRR"/>
      <sheetName val="Turnover Ratio"/>
      <sheetName val="BEP"/>
      <sheetName val="Graph 1"/>
      <sheetName val="Graph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_form"/>
      <sheetName val="DataSheet"/>
      <sheetName val="DPR_print"/>
      <sheetName val="Sheet1"/>
      <sheetName val="Working"/>
      <sheetName val="Layout"/>
      <sheetName val="Layout (2)"/>
      <sheetName val="Project_Report"/>
      <sheetName val="DPR_FRONT"/>
    </sheetNames>
    <sheetDataSet>
      <sheetData sheetId="0"/>
      <sheetData sheetId="1">
        <row r="17">
          <cell r="C17" t="str">
            <v>Maharashtra</v>
          </cell>
        </row>
        <row r="18">
          <cell r="C18" t="str">
            <v>latishwetal@gmail.com</v>
          </cell>
          <cell r="G18">
            <v>9011065024</v>
          </cell>
        </row>
      </sheetData>
      <sheetData sheetId="2"/>
      <sheetData sheetId="3"/>
      <sheetData sheetId="4"/>
      <sheetData sheetId="5"/>
      <sheetData sheetId="6"/>
      <sheetData sheetId="7">
        <row r="9">
          <cell r="B9" t="str">
            <v>Name of the Entreprenuer</v>
          </cell>
        </row>
        <row r="11">
          <cell r="B11" t="str">
            <v>Constitution (legal Status)                                         :</v>
          </cell>
        </row>
        <row r="16">
          <cell r="B16" t="str">
            <v xml:space="preserve"> Unit  Address                        :</v>
          </cell>
          <cell r="G16" t="str">
            <v>Gut No - 116 , At - Bramhangaon,</v>
          </cell>
        </row>
        <row r="17">
          <cell r="G17" t="str">
            <v xml:space="preserve"> Post - Harigaon,</v>
          </cell>
        </row>
        <row r="18">
          <cell r="G18" t="str">
            <v>Taluk/Block:</v>
          </cell>
          <cell r="H18" t="str">
            <v>Shrirampur</v>
          </cell>
        </row>
        <row r="19">
          <cell r="G19" t="str">
            <v>District :</v>
          </cell>
          <cell r="H19" t="str">
            <v>Shrirampur</v>
          </cell>
        </row>
        <row r="20">
          <cell r="G20" t="str">
            <v>Pin:</v>
          </cell>
          <cell r="H20">
            <v>413718</v>
          </cell>
          <cell r="I20" t="str">
            <v>State:</v>
          </cell>
        </row>
        <row r="22">
          <cell r="G22" t="str">
            <v>E-Mail                  :</v>
          </cell>
        </row>
      </sheetData>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ote for users"/>
      <sheetName val="COMPANY INTRO (2)"/>
      <sheetName val="COMPANY INTRO"/>
      <sheetName val="Cost of Project"/>
      <sheetName val="Dal Mill"/>
      <sheetName val="Grains Processing"/>
      <sheetName val="Sheet4"/>
      <sheetName val="Warehouse"/>
      <sheetName val="1.Project Cost and MOF"/>
      <sheetName val="2.Capex Details"/>
      <sheetName val="3.Other Exp &amp; Taxes"/>
      <sheetName val="4.TL repayment sch"/>
      <sheetName val="5.Closing Stock &amp; W Capital"/>
      <sheetName val="6.Cons Profit &amp; Loss"/>
      <sheetName val="7.Balance Sheet"/>
      <sheetName val="8.Cash Flow "/>
      <sheetName val="9. Financial indiacators"/>
      <sheetName val="10.Grain Production details"/>
      <sheetName val="11.F&amp;V Crop Production details"/>
      <sheetName val="12.Facility 1 - Trading"/>
      <sheetName val="13.Facility 2 Grain Processing"/>
      <sheetName val="14. Facility 3 Warehouse"/>
      <sheetName val="15. Facility 4 Custom Hiring"/>
      <sheetName val="16.Facility 5 Agri Input"/>
      <sheetName val="Sheet2"/>
      <sheetName val="17.Facility 6 Horti Processing "/>
    </sheetNames>
    <sheetDataSet>
      <sheetData sheetId="0"/>
      <sheetData sheetId="1"/>
      <sheetData sheetId="2"/>
      <sheetData sheetId="3"/>
      <sheetData sheetId="4"/>
      <sheetData sheetId="5"/>
      <sheetData sheetId="6"/>
      <sheetData sheetId="7"/>
      <sheetData sheetId="8"/>
      <sheetData sheetId="9">
        <row r="7">
          <cell r="C7" t="str">
            <v>Furniture and Fixture</v>
          </cell>
        </row>
        <row r="9">
          <cell r="C9" t="str">
            <v>Transport vehical  (Refer van and other)</v>
          </cell>
        </row>
        <row r="10">
          <cell r="C10" t="str">
            <v>Preliminary Expenses</v>
          </cell>
        </row>
        <row r="28">
          <cell r="D28">
            <v>0.4003389524147723</v>
          </cell>
        </row>
      </sheetData>
      <sheetData sheetId="10"/>
      <sheetData sheetId="11"/>
      <sheetData sheetId="12"/>
      <sheetData sheetId="13"/>
      <sheetData sheetId="14">
        <row r="15">
          <cell r="H15">
            <v>416197419.47410375</v>
          </cell>
        </row>
      </sheetData>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6">
          <cell r="C6" t="str">
            <v>लतीश विठ्ठल वेताळ</v>
          </cell>
          <cell r="G6" t="str">
            <v>०.२० (हे)</v>
          </cell>
          <cell r="I6" t="str">
            <v>ABOPW0476B</v>
          </cell>
          <cell r="J6">
            <v>518163055021</v>
          </cell>
        </row>
        <row r="7">
          <cell r="D7" t="str">
            <v>पुरुष</v>
          </cell>
          <cell r="E7" t="str">
            <v>खुला प्रवर्ग</v>
          </cell>
          <cell r="F7" t="str">
            <v>संचालक</v>
          </cell>
          <cell r="H7" t="str">
            <v>B. com</v>
          </cell>
          <cell r="K7">
            <v>9011065024</v>
          </cell>
        </row>
        <row r="8">
          <cell r="C8" t="str">
            <v>विश्वजित इंद्रजीत सिंग</v>
          </cell>
        </row>
        <row r="10">
          <cell r="C10" t="str">
            <v>द्वारकानाथ कारभारी गुजर</v>
          </cell>
        </row>
        <row r="12">
          <cell r="C12" t="str">
            <v>किरण विठ्ठल वेताळ</v>
          </cell>
        </row>
        <row r="35">
          <cell r="C35" t="str">
            <v>उद्यम आधार</v>
          </cell>
          <cell r="D35" t="str">
            <v>MSME</v>
          </cell>
          <cell r="E35" t="str">
            <v>UDYAM-MH-01-0019972</v>
          </cell>
          <cell r="F35" t="str">
            <v>-NA-</v>
          </cell>
        </row>
        <row r="36">
          <cell r="C36" t="str">
            <v xml:space="preserve">FSSAI लीसिन्से </v>
          </cell>
          <cell r="D36" t="str">
            <v>FDA</v>
          </cell>
          <cell r="E36">
            <v>11521033000688</v>
          </cell>
        </row>
        <row r="37">
          <cell r="C37" t="str">
            <v>ISO</v>
          </cell>
          <cell r="D37" t="str">
            <v>Paramount Quality Certification</v>
          </cell>
          <cell r="E37" t="str">
            <v xml:space="preserve"> AAUCA5741p</v>
          </cell>
          <cell r="F37">
            <v>45484</v>
          </cell>
        </row>
        <row r="39">
          <cell r="C39" t="str">
            <v xml:space="preserve">IMPORT EXPORT CODE </v>
          </cell>
          <cell r="D39" t="str">
            <v>DGFT ( Govt. of India)</v>
          </cell>
          <cell r="E39" t="str">
            <v xml:space="preserve"> AAUCA5741p</v>
          </cell>
        </row>
        <row r="40">
          <cell r="C40" t="str">
            <v>APEDA</v>
          </cell>
          <cell r="F40">
            <v>46334</v>
          </cell>
        </row>
        <row r="42">
          <cell r="C42" t="str">
            <v>GST</v>
          </cell>
        </row>
        <row r="43">
          <cell r="C43" t="str">
            <v>STARTUP INDIA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investopedia.com/terms/d/discountrate.asp"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mailto:Kishordhokchaule@gmail.com" TargetMode="External"/><Relationship Id="rId7" Type="http://schemas.openxmlformats.org/officeDocument/2006/relationships/hyperlink" Target="mailto:vijay2saipl@gmail.com" TargetMode="External"/><Relationship Id="rId2" Type="http://schemas.openxmlformats.org/officeDocument/2006/relationships/hyperlink" Target="mailto:saispecialitycompounds1217@gmail.com" TargetMode="External"/><Relationship Id="rId1" Type="http://schemas.openxmlformats.org/officeDocument/2006/relationships/hyperlink" Target="https://www.smart-mh.org/cdn/2019/08/190818171526_405e4be8b9d3ce2374fe29ce1561a62b.pdf" TargetMode="External"/><Relationship Id="rId6" Type="http://schemas.openxmlformats.org/officeDocument/2006/relationships/hyperlink" Target="mailto:saispecialitycompounds1217@gmail.com" TargetMode="External"/><Relationship Id="rId5" Type="http://schemas.openxmlformats.org/officeDocument/2006/relationships/hyperlink" Target="mailto:Kishordhokchaule@gmail.com" TargetMode="External"/><Relationship Id="rId4" Type="http://schemas.openxmlformats.org/officeDocument/2006/relationships/hyperlink" Target="mailto:vijay2saipl@gmail.com" TargetMode="External"/><Relationship Id="rId9"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80"/>
  <sheetViews>
    <sheetView topLeftCell="A40" workbookViewId="0">
      <selection activeCell="B46" sqref="B46"/>
    </sheetView>
  </sheetViews>
  <sheetFormatPr defaultRowHeight="15"/>
  <cols>
    <col min="1" max="1" width="30.7109375" customWidth="1"/>
    <col min="2" max="2" width="19.85546875" bestFit="1" customWidth="1"/>
  </cols>
  <sheetData>
    <row r="2" spans="1:8" ht="18.75">
      <c r="A2" s="724" t="s">
        <v>574</v>
      </c>
      <c r="B2" s="724"/>
      <c r="C2" s="724"/>
      <c r="D2" s="724"/>
      <c r="E2" s="724"/>
      <c r="F2" s="724"/>
      <c r="G2" s="724"/>
      <c r="H2" s="724"/>
    </row>
    <row r="3" spans="1:8">
      <c r="B3" s="4"/>
    </row>
    <row r="4" spans="1:8" ht="18.75">
      <c r="A4" s="725" t="s">
        <v>565</v>
      </c>
      <c r="B4" s="725"/>
    </row>
    <row r="5" spans="1:8">
      <c r="A5" s="211" t="s">
        <v>0</v>
      </c>
      <c r="B5" s="222" t="s">
        <v>391</v>
      </c>
      <c r="C5" s="223"/>
      <c r="D5" s="223"/>
      <c r="E5" s="223"/>
      <c r="F5" s="223"/>
      <c r="G5" s="223"/>
      <c r="H5" s="223"/>
    </row>
    <row r="6" spans="1:8">
      <c r="A6" s="9" t="s">
        <v>501</v>
      </c>
      <c r="B6" s="207">
        <f>+'10.Grain Production details'!B5</f>
        <v>688</v>
      </c>
      <c r="D6" s="224"/>
      <c r="E6" s="224"/>
      <c r="F6" s="224"/>
      <c r="G6" s="224"/>
      <c r="H6" s="224"/>
    </row>
    <row r="7" spans="1:8">
      <c r="A7" s="9" t="s">
        <v>502</v>
      </c>
      <c r="B7" s="207">
        <v>0</v>
      </c>
      <c r="D7" s="224"/>
      <c r="E7" s="224"/>
      <c r="F7" s="224"/>
      <c r="G7" s="224"/>
      <c r="H7" s="224"/>
    </row>
    <row r="8" spans="1:8">
      <c r="A8" s="2" t="s">
        <v>1</v>
      </c>
      <c r="B8" s="2">
        <f>B6+B7</f>
        <v>688</v>
      </c>
      <c r="C8" s="5"/>
      <c r="D8" s="225"/>
      <c r="E8" s="225"/>
      <c r="F8" s="225"/>
      <c r="G8" s="225"/>
      <c r="H8" s="225"/>
    </row>
    <row r="9" spans="1:8">
      <c r="A9" s="2" t="s">
        <v>503</v>
      </c>
      <c r="B9" s="239">
        <v>2</v>
      </c>
      <c r="C9" s="5"/>
      <c r="D9" s="5"/>
      <c r="E9" s="5"/>
      <c r="F9" s="5"/>
      <c r="G9" s="5"/>
      <c r="H9" s="5"/>
    </row>
    <row r="10" spans="1:8">
      <c r="A10" s="2" t="s">
        <v>508</v>
      </c>
      <c r="B10" s="2">
        <f>B8*B9</f>
        <v>1376</v>
      </c>
      <c r="C10" s="225"/>
      <c r="D10" s="225"/>
      <c r="E10" s="225"/>
      <c r="F10" s="225"/>
      <c r="G10" s="225"/>
      <c r="H10" s="225"/>
    </row>
    <row r="12" spans="1:8" ht="18.75">
      <c r="A12" s="724" t="s">
        <v>566</v>
      </c>
      <c r="B12" s="724"/>
      <c r="C12" s="724"/>
      <c r="D12" s="724"/>
      <c r="E12" s="724"/>
      <c r="F12" s="724"/>
      <c r="G12" s="724"/>
      <c r="H12" s="724"/>
    </row>
    <row r="14" spans="1:8" ht="90">
      <c r="A14" s="211" t="s">
        <v>395</v>
      </c>
      <c r="B14" s="211" t="s">
        <v>396</v>
      </c>
      <c r="C14" s="212" t="s">
        <v>450</v>
      </c>
      <c r="D14" s="212" t="s">
        <v>458</v>
      </c>
      <c r="E14" s="212" t="s">
        <v>459</v>
      </c>
      <c r="F14" s="212" t="s">
        <v>397</v>
      </c>
      <c r="G14" s="212" t="s">
        <v>618</v>
      </c>
      <c r="H14" s="212" t="s">
        <v>398</v>
      </c>
    </row>
    <row r="15" spans="1:8">
      <c r="A15" s="726" t="s">
        <v>399</v>
      </c>
      <c r="B15" s="207" t="s">
        <v>168</v>
      </c>
      <c r="C15" s="217">
        <v>0.2</v>
      </c>
      <c r="D15" s="9">
        <f>$B$10*C15</f>
        <v>275.2</v>
      </c>
      <c r="E15" s="208">
        <v>15</v>
      </c>
      <c r="F15" s="9">
        <f>D15*E15</f>
        <v>4128</v>
      </c>
      <c r="G15" s="218">
        <v>0.1</v>
      </c>
      <c r="H15" s="9">
        <f>(F15-F15*G15)</f>
        <v>3715.2</v>
      </c>
    </row>
    <row r="16" spans="1:8">
      <c r="A16" s="727"/>
      <c r="B16" s="207" t="s">
        <v>481</v>
      </c>
      <c r="C16" s="217">
        <v>0.15</v>
      </c>
      <c r="D16" s="9">
        <f t="shared" ref="D16:D37" si="0">$B$10*C16</f>
        <v>206.4</v>
      </c>
      <c r="E16" s="208">
        <v>7</v>
      </c>
      <c r="F16" s="9">
        <f t="shared" ref="F16:F37" si="1">D16*E16</f>
        <v>1444.8</v>
      </c>
      <c r="G16" s="218">
        <v>0.05</v>
      </c>
      <c r="H16" s="9">
        <f>(F16-F16*G16)</f>
        <v>1372.56</v>
      </c>
    </row>
    <row r="17" spans="1:8">
      <c r="A17" s="727"/>
      <c r="B17" s="207" t="s">
        <v>480</v>
      </c>
      <c r="C17" s="217">
        <v>0</v>
      </c>
      <c r="D17" s="9">
        <f t="shared" si="0"/>
        <v>0</v>
      </c>
      <c r="E17" s="208">
        <v>4</v>
      </c>
      <c r="F17" s="9">
        <f t="shared" si="1"/>
        <v>0</v>
      </c>
      <c r="G17" s="218">
        <v>0</v>
      </c>
      <c r="H17" s="9">
        <f t="shared" ref="H17:H37" si="2">(F17-F17*G17)</f>
        <v>0</v>
      </c>
    </row>
    <row r="18" spans="1:8">
      <c r="A18" s="727"/>
      <c r="B18" s="207" t="s">
        <v>478</v>
      </c>
      <c r="C18" s="217">
        <v>0.1</v>
      </c>
      <c r="D18" s="9">
        <f t="shared" si="0"/>
        <v>137.6</v>
      </c>
      <c r="E18" s="208">
        <v>7</v>
      </c>
      <c r="F18" s="9">
        <f t="shared" si="1"/>
        <v>963.19999999999993</v>
      </c>
      <c r="G18" s="218">
        <v>0.02</v>
      </c>
      <c r="H18" s="9">
        <f t="shared" si="2"/>
        <v>943.93599999999992</v>
      </c>
    </row>
    <row r="19" spans="1:8">
      <c r="A19" s="727"/>
      <c r="B19" s="207" t="s">
        <v>400</v>
      </c>
      <c r="C19" s="217">
        <v>0.2</v>
      </c>
      <c r="D19" s="9">
        <f t="shared" si="0"/>
        <v>275.2</v>
      </c>
      <c r="E19" s="208">
        <v>20</v>
      </c>
      <c r="F19" s="9">
        <f t="shared" si="1"/>
        <v>5504</v>
      </c>
      <c r="G19" s="218">
        <v>0</v>
      </c>
      <c r="H19" s="9">
        <f t="shared" si="2"/>
        <v>5504</v>
      </c>
    </row>
    <row r="20" spans="1:8">
      <c r="A20" s="727"/>
      <c r="B20" s="207" t="s">
        <v>479</v>
      </c>
      <c r="C20" s="217">
        <v>0</v>
      </c>
      <c r="D20" s="9">
        <f t="shared" si="0"/>
        <v>0</v>
      </c>
      <c r="E20" s="208">
        <v>7</v>
      </c>
      <c r="F20" s="9">
        <f t="shared" si="1"/>
        <v>0</v>
      </c>
      <c r="G20" s="218">
        <v>0.1</v>
      </c>
      <c r="H20" s="9">
        <f t="shared" si="2"/>
        <v>0</v>
      </c>
    </row>
    <row r="21" spans="1:8">
      <c r="A21" s="727"/>
      <c r="B21" s="207" t="s">
        <v>472</v>
      </c>
      <c r="C21" s="217">
        <v>0.1</v>
      </c>
      <c r="D21" s="9">
        <f t="shared" si="0"/>
        <v>137.6</v>
      </c>
      <c r="E21" s="208">
        <v>6</v>
      </c>
      <c r="F21" s="9">
        <f t="shared" si="1"/>
        <v>825.59999999999991</v>
      </c>
      <c r="G21" s="218">
        <v>0.02</v>
      </c>
      <c r="H21" s="9">
        <f t="shared" si="2"/>
        <v>809.08799999999997</v>
      </c>
    </row>
    <row r="22" spans="1:8">
      <c r="A22" s="727"/>
      <c r="B22" s="207" t="s">
        <v>404</v>
      </c>
      <c r="C22" s="217">
        <v>0.1</v>
      </c>
      <c r="D22" s="9">
        <f t="shared" si="0"/>
        <v>137.6</v>
      </c>
      <c r="E22" s="208"/>
      <c r="F22" s="9">
        <f t="shared" si="1"/>
        <v>0</v>
      </c>
      <c r="G22" s="218">
        <v>0</v>
      </c>
      <c r="H22" s="9">
        <f t="shared" si="2"/>
        <v>0</v>
      </c>
    </row>
    <row r="23" spans="1:8">
      <c r="A23" s="728"/>
      <c r="B23" s="207" t="s">
        <v>482</v>
      </c>
      <c r="C23" s="217">
        <v>0</v>
      </c>
      <c r="D23" s="9">
        <f t="shared" si="0"/>
        <v>0</v>
      </c>
      <c r="E23" s="208"/>
      <c r="F23" s="9">
        <f t="shared" si="1"/>
        <v>0</v>
      </c>
      <c r="G23" s="218">
        <v>0</v>
      </c>
      <c r="H23" s="9">
        <f t="shared" si="2"/>
        <v>0</v>
      </c>
    </row>
    <row r="24" spans="1:8">
      <c r="A24" s="227" t="s">
        <v>486</v>
      </c>
      <c r="B24" s="232">
        <v>0.3</v>
      </c>
      <c r="C24" s="234">
        <f>B10*B24</f>
        <v>412.8</v>
      </c>
      <c r="D24" s="9">
        <f t="shared" si="0"/>
        <v>568012.80000000005</v>
      </c>
      <c r="E24" s="208"/>
      <c r="F24" s="9"/>
      <c r="G24" s="218"/>
      <c r="H24" s="9"/>
    </row>
    <row r="25" spans="1:8">
      <c r="A25" s="726" t="s">
        <v>401</v>
      </c>
      <c r="B25" s="207" t="s">
        <v>402</v>
      </c>
      <c r="C25" s="217">
        <v>0.2</v>
      </c>
      <c r="D25" s="9">
        <f t="shared" si="0"/>
        <v>275.2</v>
      </c>
      <c r="E25" s="208">
        <v>10</v>
      </c>
      <c r="F25" s="9">
        <f t="shared" si="1"/>
        <v>2752</v>
      </c>
      <c r="G25" s="218">
        <v>0.1</v>
      </c>
      <c r="H25" s="9">
        <f t="shared" si="2"/>
        <v>2476.8000000000002</v>
      </c>
    </row>
    <row r="26" spans="1:8">
      <c r="A26" s="727"/>
      <c r="B26" s="207" t="s">
        <v>403</v>
      </c>
      <c r="C26" s="217">
        <v>0.65</v>
      </c>
      <c r="D26" s="9">
        <f t="shared" si="0"/>
        <v>894.4</v>
      </c>
      <c r="E26" s="208">
        <v>10</v>
      </c>
      <c r="F26" s="9">
        <f t="shared" si="1"/>
        <v>8944</v>
      </c>
      <c r="G26" s="218">
        <v>0.1</v>
      </c>
      <c r="H26" s="9">
        <f>(F26-F26*G26)</f>
        <v>8049.6</v>
      </c>
    </row>
    <row r="27" spans="1:8">
      <c r="A27" s="727"/>
      <c r="B27" s="207" t="s">
        <v>404</v>
      </c>
      <c r="C27" s="217">
        <v>0.05</v>
      </c>
      <c r="D27" s="9">
        <f t="shared" si="0"/>
        <v>68.8</v>
      </c>
      <c r="E27" s="208">
        <v>10</v>
      </c>
      <c r="F27" s="9">
        <f t="shared" si="1"/>
        <v>688</v>
      </c>
      <c r="G27" s="218">
        <v>0.05</v>
      </c>
      <c r="H27" s="9">
        <f t="shared" si="2"/>
        <v>653.6</v>
      </c>
    </row>
    <row r="28" spans="1:8">
      <c r="A28" s="727"/>
      <c r="B28" s="207" t="s">
        <v>400</v>
      </c>
      <c r="C28" s="217">
        <v>0.1</v>
      </c>
      <c r="D28" s="9">
        <f t="shared" si="0"/>
        <v>137.6</v>
      </c>
      <c r="E28" s="208">
        <v>20</v>
      </c>
      <c r="F28" s="9">
        <f t="shared" si="1"/>
        <v>2752</v>
      </c>
      <c r="G28" s="218">
        <v>0</v>
      </c>
      <c r="H28" s="9">
        <f t="shared" si="2"/>
        <v>2752</v>
      </c>
    </row>
    <row r="29" spans="1:8">
      <c r="A29" s="727"/>
      <c r="B29" s="207" t="s">
        <v>483</v>
      </c>
      <c r="C29" s="217">
        <v>0</v>
      </c>
      <c r="D29" s="9">
        <f t="shared" si="0"/>
        <v>0</v>
      </c>
      <c r="E29" s="208"/>
      <c r="F29" s="9">
        <f t="shared" si="1"/>
        <v>0</v>
      </c>
      <c r="G29" s="218">
        <v>0</v>
      </c>
      <c r="H29" s="9">
        <f t="shared" si="2"/>
        <v>0</v>
      </c>
    </row>
    <row r="30" spans="1:8">
      <c r="A30" s="727"/>
      <c r="B30" s="207"/>
      <c r="C30" s="217">
        <v>0</v>
      </c>
      <c r="D30" s="9">
        <f t="shared" si="0"/>
        <v>0</v>
      </c>
      <c r="E30" s="208"/>
      <c r="F30" s="9">
        <f t="shared" si="1"/>
        <v>0</v>
      </c>
      <c r="G30" s="218">
        <v>0</v>
      </c>
      <c r="H30" s="9">
        <f t="shared" si="2"/>
        <v>0</v>
      </c>
    </row>
    <row r="31" spans="1:8">
      <c r="A31" s="727"/>
      <c r="B31" s="207"/>
      <c r="C31" s="217">
        <v>0</v>
      </c>
      <c r="D31" s="9">
        <f t="shared" si="0"/>
        <v>0</v>
      </c>
      <c r="E31" s="208"/>
      <c r="F31" s="9">
        <f t="shared" si="1"/>
        <v>0</v>
      </c>
      <c r="G31" s="218">
        <v>0</v>
      </c>
      <c r="H31" s="9">
        <f t="shared" si="2"/>
        <v>0</v>
      </c>
    </row>
    <row r="32" spans="1:8">
      <c r="A32" s="728"/>
      <c r="B32" s="207"/>
      <c r="C32" s="217">
        <v>0</v>
      </c>
      <c r="D32" s="9">
        <f t="shared" si="0"/>
        <v>0</v>
      </c>
      <c r="E32" s="208"/>
      <c r="F32" s="9">
        <f t="shared" si="1"/>
        <v>0</v>
      </c>
      <c r="G32" s="218">
        <v>0</v>
      </c>
      <c r="H32" s="9">
        <f t="shared" si="2"/>
        <v>0</v>
      </c>
    </row>
    <row r="33" spans="1:8">
      <c r="A33" s="227" t="s">
        <v>485</v>
      </c>
      <c r="B33" s="232">
        <v>0.05</v>
      </c>
      <c r="C33" s="9">
        <f>B10*B33</f>
        <v>68.8</v>
      </c>
      <c r="D33" s="9">
        <f t="shared" si="0"/>
        <v>94668.800000000003</v>
      </c>
      <c r="E33" s="208"/>
      <c r="F33" s="9"/>
      <c r="G33" s="218"/>
      <c r="H33" s="9"/>
    </row>
    <row r="34" spans="1:8">
      <c r="A34" s="235" t="s">
        <v>463</v>
      </c>
      <c r="B34" s="207" t="s">
        <v>484</v>
      </c>
      <c r="C34" s="217">
        <v>0</v>
      </c>
      <c r="D34" s="9">
        <f t="shared" si="0"/>
        <v>0</v>
      </c>
      <c r="E34" s="208"/>
      <c r="F34" s="9">
        <f t="shared" si="1"/>
        <v>0</v>
      </c>
      <c r="G34" s="218">
        <v>0</v>
      </c>
      <c r="H34" s="9">
        <f t="shared" si="2"/>
        <v>0</v>
      </c>
    </row>
    <row r="35" spans="1:8">
      <c r="A35" s="236"/>
      <c r="B35" s="207"/>
      <c r="C35" s="217">
        <v>0</v>
      </c>
      <c r="D35" s="9">
        <f t="shared" si="0"/>
        <v>0</v>
      </c>
      <c r="E35" s="208"/>
      <c r="F35" s="9">
        <f t="shared" si="1"/>
        <v>0</v>
      </c>
      <c r="G35" s="218">
        <v>0</v>
      </c>
      <c r="H35" s="9">
        <f t="shared" si="2"/>
        <v>0</v>
      </c>
    </row>
    <row r="36" spans="1:8">
      <c r="A36" s="236"/>
      <c r="B36" s="207"/>
      <c r="C36" s="217">
        <v>0</v>
      </c>
      <c r="D36" s="9">
        <f t="shared" si="0"/>
        <v>0</v>
      </c>
      <c r="E36" s="208"/>
      <c r="F36" s="9">
        <f t="shared" si="1"/>
        <v>0</v>
      </c>
      <c r="G36" s="218">
        <v>0</v>
      </c>
      <c r="H36" s="9">
        <f t="shared" si="2"/>
        <v>0</v>
      </c>
    </row>
    <row r="37" spans="1:8">
      <c r="A37" s="237"/>
      <c r="B37" s="207"/>
      <c r="C37" s="217">
        <v>0</v>
      </c>
      <c r="D37" s="9">
        <f t="shared" si="0"/>
        <v>0</v>
      </c>
      <c r="E37" s="208"/>
      <c r="F37" s="9">
        <f t="shared" si="1"/>
        <v>0</v>
      </c>
      <c r="G37" s="218">
        <v>0</v>
      </c>
      <c r="H37" s="9">
        <f t="shared" si="2"/>
        <v>0</v>
      </c>
    </row>
    <row r="38" spans="1:8">
      <c r="A38" s="729" t="s">
        <v>405</v>
      </c>
      <c r="B38" s="729"/>
      <c r="C38" s="729"/>
      <c r="D38" s="729"/>
      <c r="E38" s="729"/>
      <c r="F38" s="729"/>
      <c r="G38" s="729"/>
      <c r="H38" s="729"/>
    </row>
    <row r="41" spans="1:8" ht="18.75">
      <c r="A41" s="724" t="s">
        <v>504</v>
      </c>
      <c r="B41" s="724"/>
      <c r="C41" s="724"/>
      <c r="D41" s="724"/>
      <c r="E41" s="724"/>
      <c r="F41" s="724"/>
      <c r="G41" s="724"/>
      <c r="H41" s="724"/>
    </row>
    <row r="42" spans="1:8">
      <c r="B42" s="4"/>
    </row>
    <row r="43" spans="1:8" ht="18.75">
      <c r="A43" s="725" t="s">
        <v>567</v>
      </c>
      <c r="B43" s="725"/>
    </row>
    <row r="44" spans="1:8">
      <c r="A44" s="211" t="s">
        <v>0</v>
      </c>
      <c r="B44" s="222" t="s">
        <v>391</v>
      </c>
      <c r="C44" s="223"/>
      <c r="D44" s="223"/>
      <c r="E44" s="223"/>
      <c r="F44" s="223"/>
      <c r="G44" s="223"/>
      <c r="H44" s="223"/>
    </row>
    <row r="45" spans="1:8">
      <c r="A45" s="9" t="s">
        <v>497</v>
      </c>
      <c r="B45" s="207">
        <v>0</v>
      </c>
      <c r="D45" s="224"/>
      <c r="E45" s="224"/>
      <c r="F45" s="224"/>
      <c r="G45" s="224"/>
      <c r="H45" s="224"/>
    </row>
    <row r="46" spans="1:8">
      <c r="A46" s="9" t="s">
        <v>498</v>
      </c>
      <c r="B46" s="207">
        <v>0</v>
      </c>
      <c r="D46" s="224"/>
      <c r="E46" s="224"/>
      <c r="F46" s="224"/>
      <c r="G46" s="224"/>
      <c r="H46" s="224"/>
    </row>
    <row r="47" spans="1:8">
      <c r="A47" s="2" t="s">
        <v>1</v>
      </c>
      <c r="B47" s="2">
        <f>B45+B46</f>
        <v>0</v>
      </c>
      <c r="C47" s="5"/>
      <c r="D47" s="225"/>
      <c r="E47" s="225"/>
      <c r="F47" s="225"/>
      <c r="G47" s="225"/>
      <c r="H47" s="225"/>
    </row>
    <row r="48" spans="1:8">
      <c r="A48" s="2" t="s">
        <v>499</v>
      </c>
      <c r="B48" s="239">
        <v>2</v>
      </c>
      <c r="C48" s="5"/>
      <c r="D48" s="5"/>
      <c r="E48" s="5"/>
      <c r="F48" s="5"/>
      <c r="G48" s="5"/>
      <c r="H48" s="5"/>
    </row>
    <row r="49" spans="1:8">
      <c r="A49" s="2" t="s">
        <v>500</v>
      </c>
      <c r="B49" s="2">
        <f>B47*B48</f>
        <v>0</v>
      </c>
      <c r="C49" s="225"/>
      <c r="D49" s="225"/>
      <c r="E49" s="225"/>
      <c r="F49" s="225"/>
      <c r="G49" s="225"/>
      <c r="H49" s="225"/>
    </row>
    <row r="51" spans="1:8" ht="18.75">
      <c r="A51" s="724" t="s">
        <v>568</v>
      </c>
      <c r="B51" s="724"/>
      <c r="C51" s="724"/>
      <c r="D51" s="724"/>
      <c r="E51" s="724"/>
      <c r="F51" s="724"/>
      <c r="G51" s="724"/>
      <c r="H51" s="724"/>
    </row>
    <row r="53" spans="1:8" ht="90">
      <c r="A53" s="211" t="s">
        <v>395</v>
      </c>
      <c r="B53" s="211" t="s">
        <v>396</v>
      </c>
      <c r="C53" s="212" t="s">
        <v>450</v>
      </c>
      <c r="D53" s="212" t="s">
        <v>458</v>
      </c>
      <c r="E53" s="212" t="s">
        <v>459</v>
      </c>
      <c r="F53" s="212" t="s">
        <v>397</v>
      </c>
      <c r="G53" s="212" t="s">
        <v>618</v>
      </c>
      <c r="H53" s="212" t="s">
        <v>398</v>
      </c>
    </row>
    <row r="54" spans="1:8">
      <c r="A54" s="726" t="s">
        <v>399</v>
      </c>
      <c r="B54" s="207" t="s">
        <v>487</v>
      </c>
      <c r="C54" s="217">
        <v>0.5</v>
      </c>
      <c r="D54" s="9">
        <f>$B$49*C54</f>
        <v>0</v>
      </c>
      <c r="E54" s="208">
        <v>15</v>
      </c>
      <c r="F54" s="9">
        <f>D54*E54</f>
        <v>0</v>
      </c>
      <c r="G54" s="218">
        <v>0.1</v>
      </c>
      <c r="H54" s="9">
        <f>(F54-F54*G54)</f>
        <v>0</v>
      </c>
    </row>
    <row r="55" spans="1:8">
      <c r="A55" s="727"/>
      <c r="B55" s="207" t="s">
        <v>488</v>
      </c>
      <c r="C55" s="217">
        <v>0.02</v>
      </c>
      <c r="D55" s="9">
        <f t="shared" ref="D55:D62" si="3">$B$9*C55</f>
        <v>0.04</v>
      </c>
      <c r="E55" s="208">
        <v>7</v>
      </c>
      <c r="F55" s="9">
        <f t="shared" ref="F55:F80" si="4">D55*E55</f>
        <v>0.28000000000000003</v>
      </c>
      <c r="G55" s="218">
        <v>0.05</v>
      </c>
      <c r="H55" s="9">
        <f>(F55-F55*G55)</f>
        <v>0.26600000000000001</v>
      </c>
    </row>
    <row r="56" spans="1:8">
      <c r="A56" s="727"/>
      <c r="B56" s="207" t="s">
        <v>489</v>
      </c>
      <c r="C56" s="217">
        <v>0</v>
      </c>
      <c r="D56" s="9">
        <f t="shared" si="3"/>
        <v>0</v>
      </c>
      <c r="E56" s="208">
        <v>4</v>
      </c>
      <c r="F56" s="9">
        <f t="shared" si="4"/>
        <v>0</v>
      </c>
      <c r="G56" s="218">
        <v>0</v>
      </c>
      <c r="H56" s="9">
        <f t="shared" ref="H56:H80" si="5">(F56-F56*G56)</f>
        <v>0</v>
      </c>
    </row>
    <row r="57" spans="1:8">
      <c r="A57" s="727"/>
      <c r="B57" s="207" t="s">
        <v>490</v>
      </c>
      <c r="C57" s="217">
        <v>0</v>
      </c>
      <c r="D57" s="9">
        <f t="shared" si="3"/>
        <v>0</v>
      </c>
      <c r="E57" s="208">
        <v>7</v>
      </c>
      <c r="F57" s="9">
        <f t="shared" si="4"/>
        <v>0</v>
      </c>
      <c r="G57" s="218">
        <v>0.02</v>
      </c>
      <c r="H57" s="9">
        <f t="shared" si="5"/>
        <v>0</v>
      </c>
    </row>
    <row r="58" spans="1:8">
      <c r="A58" s="727"/>
      <c r="B58" s="207" t="s">
        <v>492</v>
      </c>
      <c r="C58" s="217">
        <v>0</v>
      </c>
      <c r="D58" s="9">
        <f t="shared" si="3"/>
        <v>0</v>
      </c>
      <c r="E58" s="208">
        <v>20</v>
      </c>
      <c r="F58" s="9">
        <f t="shared" si="4"/>
        <v>0</v>
      </c>
      <c r="G58" s="218">
        <v>0</v>
      </c>
      <c r="H58" s="9">
        <f t="shared" si="5"/>
        <v>0</v>
      </c>
    </row>
    <row r="59" spans="1:8">
      <c r="A59" s="727"/>
      <c r="B59" s="207"/>
      <c r="C59" s="217">
        <v>0</v>
      </c>
      <c r="D59" s="9">
        <f t="shared" si="3"/>
        <v>0</v>
      </c>
      <c r="E59" s="208">
        <v>7</v>
      </c>
      <c r="F59" s="9">
        <f t="shared" si="4"/>
        <v>0</v>
      </c>
      <c r="G59" s="218">
        <v>0.1</v>
      </c>
      <c r="H59" s="9">
        <f t="shared" si="5"/>
        <v>0</v>
      </c>
    </row>
    <row r="60" spans="1:8">
      <c r="A60" s="727"/>
      <c r="B60" s="207"/>
      <c r="C60" s="217">
        <v>0</v>
      </c>
      <c r="D60" s="9">
        <f t="shared" si="3"/>
        <v>0</v>
      </c>
      <c r="E60" s="208">
        <v>6</v>
      </c>
      <c r="F60" s="9">
        <f t="shared" si="4"/>
        <v>0</v>
      </c>
      <c r="G60" s="218">
        <v>0.02</v>
      </c>
      <c r="H60" s="9">
        <f t="shared" si="5"/>
        <v>0</v>
      </c>
    </row>
    <row r="61" spans="1:8">
      <c r="A61" s="727"/>
      <c r="B61" s="207"/>
      <c r="C61" s="217">
        <v>0</v>
      </c>
      <c r="D61" s="9">
        <f t="shared" si="3"/>
        <v>0</v>
      </c>
      <c r="E61" s="208"/>
      <c r="F61" s="9">
        <f t="shared" si="4"/>
        <v>0</v>
      </c>
      <c r="G61" s="218">
        <v>0</v>
      </c>
      <c r="H61" s="9">
        <f t="shared" si="5"/>
        <v>0</v>
      </c>
    </row>
    <row r="62" spans="1:8">
      <c r="A62" s="728"/>
      <c r="B62" s="207"/>
      <c r="C62" s="217">
        <v>0</v>
      </c>
      <c r="D62" s="9">
        <f t="shared" si="3"/>
        <v>0</v>
      </c>
      <c r="E62" s="208"/>
      <c r="F62" s="9">
        <f t="shared" si="4"/>
        <v>0</v>
      </c>
      <c r="G62" s="218">
        <v>0</v>
      </c>
      <c r="H62" s="9">
        <f t="shared" si="5"/>
        <v>0</v>
      </c>
    </row>
    <row r="63" spans="1:8">
      <c r="A63" s="238" t="s">
        <v>505</v>
      </c>
      <c r="B63" s="232">
        <v>0.3</v>
      </c>
      <c r="C63" s="233">
        <f>B49*B63</f>
        <v>0</v>
      </c>
      <c r="D63" s="9"/>
      <c r="E63" s="208"/>
      <c r="F63" s="9"/>
      <c r="G63" s="218"/>
      <c r="H63" s="9"/>
    </row>
    <row r="64" spans="1:8">
      <c r="A64" s="726" t="s">
        <v>401</v>
      </c>
      <c r="B64" s="207" t="s">
        <v>487</v>
      </c>
      <c r="C64" s="217">
        <v>0.02</v>
      </c>
      <c r="D64" s="9">
        <f t="shared" ref="D64:D71" si="6">C$23*C64</f>
        <v>0</v>
      </c>
      <c r="E64" s="208">
        <v>10</v>
      </c>
      <c r="F64" s="9">
        <f t="shared" si="4"/>
        <v>0</v>
      </c>
      <c r="G64" s="218">
        <v>0.1</v>
      </c>
      <c r="H64" s="9">
        <f t="shared" si="5"/>
        <v>0</v>
      </c>
    </row>
    <row r="65" spans="1:8">
      <c r="A65" s="727"/>
      <c r="B65" s="207" t="s">
        <v>488</v>
      </c>
      <c r="C65" s="217">
        <v>0</v>
      </c>
      <c r="D65" s="9">
        <f t="shared" si="6"/>
        <v>0</v>
      </c>
      <c r="E65" s="208">
        <v>10</v>
      </c>
      <c r="F65" s="9">
        <f t="shared" si="4"/>
        <v>0</v>
      </c>
      <c r="G65" s="218">
        <v>0.1</v>
      </c>
      <c r="H65" s="9">
        <f t="shared" si="5"/>
        <v>0</v>
      </c>
    </row>
    <row r="66" spans="1:8">
      <c r="A66" s="727"/>
      <c r="B66" s="207" t="s">
        <v>489</v>
      </c>
      <c r="C66" s="217">
        <v>0</v>
      </c>
      <c r="D66" s="9">
        <f t="shared" si="6"/>
        <v>0</v>
      </c>
      <c r="E66" s="208">
        <v>10</v>
      </c>
      <c r="F66" s="9">
        <f t="shared" si="4"/>
        <v>0</v>
      </c>
      <c r="G66" s="218">
        <v>0.05</v>
      </c>
      <c r="H66" s="9">
        <f t="shared" si="5"/>
        <v>0</v>
      </c>
    </row>
    <row r="67" spans="1:8">
      <c r="A67" s="727"/>
      <c r="B67" s="207" t="s">
        <v>490</v>
      </c>
      <c r="C67" s="217">
        <v>0</v>
      </c>
      <c r="D67" s="9">
        <f t="shared" si="6"/>
        <v>0</v>
      </c>
      <c r="E67" s="208">
        <v>20</v>
      </c>
      <c r="F67" s="9">
        <f t="shared" si="4"/>
        <v>0</v>
      </c>
      <c r="G67" s="218">
        <v>0</v>
      </c>
      <c r="H67" s="9">
        <f t="shared" si="5"/>
        <v>0</v>
      </c>
    </row>
    <row r="68" spans="1:8">
      <c r="A68" s="727"/>
      <c r="B68" s="207" t="s">
        <v>491</v>
      </c>
      <c r="C68" s="217">
        <v>0</v>
      </c>
      <c r="D68" s="9">
        <f t="shared" si="6"/>
        <v>0</v>
      </c>
      <c r="E68" s="208"/>
      <c r="F68" s="9">
        <f t="shared" si="4"/>
        <v>0</v>
      </c>
      <c r="G68" s="218">
        <v>0</v>
      </c>
      <c r="H68" s="9">
        <f t="shared" si="5"/>
        <v>0</v>
      </c>
    </row>
    <row r="69" spans="1:8">
      <c r="A69" s="727"/>
      <c r="B69" s="207"/>
      <c r="C69" s="217">
        <v>0</v>
      </c>
      <c r="D69" s="9">
        <f t="shared" si="6"/>
        <v>0</v>
      </c>
      <c r="E69" s="208"/>
      <c r="F69" s="9">
        <f t="shared" si="4"/>
        <v>0</v>
      </c>
      <c r="G69" s="218">
        <v>0</v>
      </c>
      <c r="H69" s="9">
        <f t="shared" si="5"/>
        <v>0</v>
      </c>
    </row>
    <row r="70" spans="1:8">
      <c r="A70" s="727"/>
      <c r="B70" s="207"/>
      <c r="C70" s="217">
        <v>0</v>
      </c>
      <c r="D70" s="9">
        <f t="shared" si="6"/>
        <v>0</v>
      </c>
      <c r="E70" s="208"/>
      <c r="F70" s="9">
        <f t="shared" si="4"/>
        <v>0</v>
      </c>
      <c r="G70" s="218">
        <v>0</v>
      </c>
      <c r="H70" s="9">
        <f t="shared" si="5"/>
        <v>0</v>
      </c>
    </row>
    <row r="71" spans="1:8">
      <c r="A71" s="728"/>
      <c r="B71" s="207"/>
      <c r="C71" s="217">
        <v>0</v>
      </c>
      <c r="D71" s="9">
        <f t="shared" si="6"/>
        <v>0</v>
      </c>
      <c r="E71" s="208"/>
      <c r="F71" s="9">
        <f t="shared" si="4"/>
        <v>0</v>
      </c>
      <c r="G71" s="218">
        <v>0</v>
      </c>
      <c r="H71" s="9">
        <f t="shared" si="5"/>
        <v>0</v>
      </c>
    </row>
    <row r="72" spans="1:8">
      <c r="A72" s="238" t="s">
        <v>506</v>
      </c>
      <c r="B72" s="232">
        <v>0.2</v>
      </c>
      <c r="C72" s="207">
        <f>B49*B72</f>
        <v>0</v>
      </c>
      <c r="D72" s="9"/>
      <c r="E72" s="208"/>
      <c r="F72" s="9"/>
      <c r="G72" s="218"/>
      <c r="H72" s="9"/>
    </row>
    <row r="73" spans="1:8">
      <c r="A73" s="235" t="s">
        <v>463</v>
      </c>
      <c r="B73" s="207"/>
      <c r="C73" s="217">
        <v>0</v>
      </c>
      <c r="D73" s="9">
        <f>C$32*C73</f>
        <v>0</v>
      </c>
      <c r="E73" s="208"/>
      <c r="F73" s="9">
        <f t="shared" si="4"/>
        <v>0</v>
      </c>
      <c r="G73" s="218">
        <v>0</v>
      </c>
      <c r="H73" s="9">
        <f t="shared" si="5"/>
        <v>0</v>
      </c>
    </row>
    <row r="74" spans="1:8">
      <c r="A74" s="236"/>
      <c r="B74" s="207"/>
      <c r="C74" s="217">
        <v>0</v>
      </c>
      <c r="D74" s="9">
        <f>C$32*C74</f>
        <v>0</v>
      </c>
      <c r="E74" s="208"/>
      <c r="F74" s="9">
        <f t="shared" si="4"/>
        <v>0</v>
      </c>
      <c r="G74" s="218">
        <v>0</v>
      </c>
      <c r="H74" s="9">
        <f t="shared" si="5"/>
        <v>0</v>
      </c>
    </row>
    <row r="75" spans="1:8">
      <c r="A75" s="236"/>
      <c r="B75" s="207"/>
      <c r="C75" s="217">
        <v>0</v>
      </c>
      <c r="D75" s="9">
        <f>C$32*C75</f>
        <v>0</v>
      </c>
      <c r="E75" s="208"/>
      <c r="F75" s="9">
        <f t="shared" si="4"/>
        <v>0</v>
      </c>
      <c r="G75" s="218">
        <v>0</v>
      </c>
      <c r="H75" s="9">
        <f t="shared" si="5"/>
        <v>0</v>
      </c>
    </row>
    <row r="76" spans="1:8">
      <c r="A76" s="237"/>
      <c r="B76" s="207"/>
      <c r="C76" s="217">
        <v>0</v>
      </c>
      <c r="D76" s="9">
        <f>C$32*C76</f>
        <v>0</v>
      </c>
      <c r="E76" s="208"/>
      <c r="F76" s="9">
        <f t="shared" si="4"/>
        <v>0</v>
      </c>
      <c r="G76" s="218">
        <v>0</v>
      </c>
      <c r="H76" s="9">
        <f t="shared" si="5"/>
        <v>0</v>
      </c>
    </row>
    <row r="77" spans="1:8">
      <c r="A77" s="723" t="s">
        <v>507</v>
      </c>
      <c r="B77" s="207" t="s">
        <v>493</v>
      </c>
      <c r="C77" s="217">
        <v>0.05</v>
      </c>
      <c r="D77" s="9">
        <f>$B$9*C77</f>
        <v>0.1</v>
      </c>
      <c r="E77" s="208">
        <v>6</v>
      </c>
      <c r="F77" s="9">
        <f t="shared" si="4"/>
        <v>0.60000000000000009</v>
      </c>
      <c r="G77" s="218">
        <v>0.05</v>
      </c>
      <c r="H77" s="9">
        <f t="shared" si="5"/>
        <v>0.57000000000000006</v>
      </c>
    </row>
    <row r="78" spans="1:8">
      <c r="A78" s="723"/>
      <c r="B78" s="207" t="s">
        <v>494</v>
      </c>
      <c r="C78" s="217">
        <v>0</v>
      </c>
      <c r="D78" s="9">
        <f>$B$9*C78</f>
        <v>0</v>
      </c>
      <c r="E78" s="208"/>
      <c r="F78" s="9">
        <f t="shared" si="4"/>
        <v>0</v>
      </c>
      <c r="G78" s="218">
        <v>0</v>
      </c>
      <c r="H78" s="9">
        <f t="shared" si="5"/>
        <v>0</v>
      </c>
    </row>
    <row r="79" spans="1:8">
      <c r="A79" s="723"/>
      <c r="B79" s="207" t="s">
        <v>495</v>
      </c>
      <c r="C79" s="217">
        <v>0.02</v>
      </c>
      <c r="D79" s="9">
        <f>$B$9*C79</f>
        <v>0.04</v>
      </c>
      <c r="E79" s="208"/>
      <c r="F79" s="9">
        <f t="shared" si="4"/>
        <v>0</v>
      </c>
      <c r="G79" s="218">
        <v>0</v>
      </c>
      <c r="H79" s="9">
        <f t="shared" si="5"/>
        <v>0</v>
      </c>
    </row>
    <row r="80" spans="1:8">
      <c r="A80" s="723"/>
      <c r="B80" s="207" t="s">
        <v>496</v>
      </c>
      <c r="C80" s="217">
        <v>0</v>
      </c>
      <c r="D80" s="9">
        <f>$B$9*C80</f>
        <v>0</v>
      </c>
      <c r="E80" s="208"/>
      <c r="F80" s="9">
        <f t="shared" si="4"/>
        <v>0</v>
      </c>
      <c r="G80" s="218">
        <v>0</v>
      </c>
      <c r="H80" s="9">
        <f t="shared" si="5"/>
        <v>0</v>
      </c>
    </row>
  </sheetData>
  <mergeCells count="12">
    <mergeCell ref="A77:A80"/>
    <mergeCell ref="A2:H2"/>
    <mergeCell ref="A4:B4"/>
    <mergeCell ref="A12:H12"/>
    <mergeCell ref="A15:A23"/>
    <mergeCell ref="A25:A32"/>
    <mergeCell ref="A38:H38"/>
    <mergeCell ref="A41:H41"/>
    <mergeCell ref="A43:B43"/>
    <mergeCell ref="A51:H51"/>
    <mergeCell ref="A54:A62"/>
    <mergeCell ref="A64:A7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6" sqref="J16"/>
    </sheetView>
  </sheetViews>
  <sheetFormatPr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4"/>
  <sheetViews>
    <sheetView view="pageBreakPreview" topLeftCell="A2" zoomScale="85" zoomScaleSheetLayoutView="85" workbookViewId="0">
      <selection activeCell="H24" sqref="H24"/>
    </sheetView>
  </sheetViews>
  <sheetFormatPr defaultRowHeight="16.5"/>
  <cols>
    <col min="1" max="1" width="5.5703125" style="309" customWidth="1"/>
    <col min="2" max="2" width="52" style="309" customWidth="1"/>
    <col min="3" max="3" width="16.28515625" style="309" bestFit="1" customWidth="1"/>
    <col min="4" max="5" width="9.140625" style="309"/>
    <col min="6" max="6" width="16.140625" style="309" bestFit="1" customWidth="1"/>
    <col min="7" max="256" width="9.140625" style="309"/>
    <col min="257" max="257" width="5.5703125" style="309" customWidth="1"/>
    <col min="258" max="258" width="52" style="309" customWidth="1"/>
    <col min="259" max="259" width="16.28515625" style="309" bestFit="1" customWidth="1"/>
    <col min="260" max="512" width="9.140625" style="309"/>
    <col min="513" max="513" width="5.5703125" style="309" customWidth="1"/>
    <col min="514" max="514" width="52" style="309" customWidth="1"/>
    <col min="515" max="515" width="16.28515625" style="309" bestFit="1" customWidth="1"/>
    <col min="516" max="768" width="9.140625" style="309"/>
    <col min="769" max="769" width="5.5703125" style="309" customWidth="1"/>
    <col min="770" max="770" width="52" style="309" customWidth="1"/>
    <col min="771" max="771" width="16.28515625" style="309" bestFit="1" customWidth="1"/>
    <col min="772" max="1024" width="9.140625" style="309"/>
    <col min="1025" max="1025" width="5.5703125" style="309" customWidth="1"/>
    <col min="1026" max="1026" width="52" style="309" customWidth="1"/>
    <col min="1027" max="1027" width="16.28515625" style="309" bestFit="1" customWidth="1"/>
    <col min="1028" max="1280" width="9.140625" style="309"/>
    <col min="1281" max="1281" width="5.5703125" style="309" customWidth="1"/>
    <col min="1282" max="1282" width="52" style="309" customWidth="1"/>
    <col min="1283" max="1283" width="16.28515625" style="309" bestFit="1" customWidth="1"/>
    <col min="1284" max="1536" width="9.140625" style="309"/>
    <col min="1537" max="1537" width="5.5703125" style="309" customWidth="1"/>
    <col min="1538" max="1538" width="52" style="309" customWidth="1"/>
    <col min="1539" max="1539" width="16.28515625" style="309" bestFit="1" customWidth="1"/>
    <col min="1540" max="1792" width="9.140625" style="309"/>
    <col min="1793" max="1793" width="5.5703125" style="309" customWidth="1"/>
    <col min="1794" max="1794" width="52" style="309" customWidth="1"/>
    <col min="1795" max="1795" width="16.28515625" style="309" bestFit="1" customWidth="1"/>
    <col min="1796" max="2048" width="9.140625" style="309"/>
    <col min="2049" max="2049" width="5.5703125" style="309" customWidth="1"/>
    <col min="2050" max="2050" width="52" style="309" customWidth="1"/>
    <col min="2051" max="2051" width="16.28515625" style="309" bestFit="1" customWidth="1"/>
    <col min="2052" max="2304" width="9.140625" style="309"/>
    <col min="2305" max="2305" width="5.5703125" style="309" customWidth="1"/>
    <col min="2306" max="2306" width="52" style="309" customWidth="1"/>
    <col min="2307" max="2307" width="16.28515625" style="309" bestFit="1" customWidth="1"/>
    <col min="2308" max="2560" width="9.140625" style="309"/>
    <col min="2561" max="2561" width="5.5703125" style="309" customWidth="1"/>
    <col min="2562" max="2562" width="52" style="309" customWidth="1"/>
    <col min="2563" max="2563" width="16.28515625" style="309" bestFit="1" customWidth="1"/>
    <col min="2564" max="2816" width="9.140625" style="309"/>
    <col min="2817" max="2817" width="5.5703125" style="309" customWidth="1"/>
    <col min="2818" max="2818" width="52" style="309" customWidth="1"/>
    <col min="2819" max="2819" width="16.28515625" style="309" bestFit="1" customWidth="1"/>
    <col min="2820" max="3072" width="9.140625" style="309"/>
    <col min="3073" max="3073" width="5.5703125" style="309" customWidth="1"/>
    <col min="3074" max="3074" width="52" style="309" customWidth="1"/>
    <col min="3075" max="3075" width="16.28515625" style="309" bestFit="1" customWidth="1"/>
    <col min="3076" max="3328" width="9.140625" style="309"/>
    <col min="3329" max="3329" width="5.5703125" style="309" customWidth="1"/>
    <col min="3330" max="3330" width="52" style="309" customWidth="1"/>
    <col min="3331" max="3331" width="16.28515625" style="309" bestFit="1" customWidth="1"/>
    <col min="3332" max="3584" width="9.140625" style="309"/>
    <col min="3585" max="3585" width="5.5703125" style="309" customWidth="1"/>
    <col min="3586" max="3586" width="52" style="309" customWidth="1"/>
    <col min="3587" max="3587" width="16.28515625" style="309" bestFit="1" customWidth="1"/>
    <col min="3588" max="3840" width="9.140625" style="309"/>
    <col min="3841" max="3841" width="5.5703125" style="309" customWidth="1"/>
    <col min="3842" max="3842" width="52" style="309" customWidth="1"/>
    <col min="3843" max="3843" width="16.28515625" style="309" bestFit="1" customWidth="1"/>
    <col min="3844" max="4096" width="9.140625" style="309"/>
    <col min="4097" max="4097" width="5.5703125" style="309" customWidth="1"/>
    <col min="4098" max="4098" width="52" style="309" customWidth="1"/>
    <col min="4099" max="4099" width="16.28515625" style="309" bestFit="1" customWidth="1"/>
    <col min="4100" max="4352" width="9.140625" style="309"/>
    <col min="4353" max="4353" width="5.5703125" style="309" customWidth="1"/>
    <col min="4354" max="4354" width="52" style="309" customWidth="1"/>
    <col min="4355" max="4355" width="16.28515625" style="309" bestFit="1" customWidth="1"/>
    <col min="4356" max="4608" width="9.140625" style="309"/>
    <col min="4609" max="4609" width="5.5703125" style="309" customWidth="1"/>
    <col min="4610" max="4610" width="52" style="309" customWidth="1"/>
    <col min="4611" max="4611" width="16.28515625" style="309" bestFit="1" customWidth="1"/>
    <col min="4612" max="4864" width="9.140625" style="309"/>
    <col min="4865" max="4865" width="5.5703125" style="309" customWidth="1"/>
    <col min="4866" max="4866" width="52" style="309" customWidth="1"/>
    <col min="4867" max="4867" width="16.28515625" style="309" bestFit="1" customWidth="1"/>
    <col min="4868" max="5120" width="9.140625" style="309"/>
    <col min="5121" max="5121" width="5.5703125" style="309" customWidth="1"/>
    <col min="5122" max="5122" width="52" style="309" customWidth="1"/>
    <col min="5123" max="5123" width="16.28515625" style="309" bestFit="1" customWidth="1"/>
    <col min="5124" max="5376" width="9.140625" style="309"/>
    <col min="5377" max="5377" width="5.5703125" style="309" customWidth="1"/>
    <col min="5378" max="5378" width="52" style="309" customWidth="1"/>
    <col min="5379" max="5379" width="16.28515625" style="309" bestFit="1" customWidth="1"/>
    <col min="5380" max="5632" width="9.140625" style="309"/>
    <col min="5633" max="5633" width="5.5703125" style="309" customWidth="1"/>
    <col min="5634" max="5634" width="52" style="309" customWidth="1"/>
    <col min="5635" max="5635" width="16.28515625" style="309" bestFit="1" customWidth="1"/>
    <col min="5636" max="5888" width="9.140625" style="309"/>
    <col min="5889" max="5889" width="5.5703125" style="309" customWidth="1"/>
    <col min="5890" max="5890" width="52" style="309" customWidth="1"/>
    <col min="5891" max="5891" width="16.28515625" style="309" bestFit="1" customWidth="1"/>
    <col min="5892" max="6144" width="9.140625" style="309"/>
    <col min="6145" max="6145" width="5.5703125" style="309" customWidth="1"/>
    <col min="6146" max="6146" width="52" style="309" customWidth="1"/>
    <col min="6147" max="6147" width="16.28515625" style="309" bestFit="1" customWidth="1"/>
    <col min="6148" max="6400" width="9.140625" style="309"/>
    <col min="6401" max="6401" width="5.5703125" style="309" customWidth="1"/>
    <col min="6402" max="6402" width="52" style="309" customWidth="1"/>
    <col min="6403" max="6403" width="16.28515625" style="309" bestFit="1" customWidth="1"/>
    <col min="6404" max="6656" width="9.140625" style="309"/>
    <col min="6657" max="6657" width="5.5703125" style="309" customWidth="1"/>
    <col min="6658" max="6658" width="52" style="309" customWidth="1"/>
    <col min="6659" max="6659" width="16.28515625" style="309" bestFit="1" customWidth="1"/>
    <col min="6660" max="6912" width="9.140625" style="309"/>
    <col min="6913" max="6913" width="5.5703125" style="309" customWidth="1"/>
    <col min="6914" max="6914" width="52" style="309" customWidth="1"/>
    <col min="6915" max="6915" width="16.28515625" style="309" bestFit="1" customWidth="1"/>
    <col min="6916" max="7168" width="9.140625" style="309"/>
    <col min="7169" max="7169" width="5.5703125" style="309" customWidth="1"/>
    <col min="7170" max="7170" width="52" style="309" customWidth="1"/>
    <col min="7171" max="7171" width="16.28515625" style="309" bestFit="1" customWidth="1"/>
    <col min="7172" max="7424" width="9.140625" style="309"/>
    <col min="7425" max="7425" width="5.5703125" style="309" customWidth="1"/>
    <col min="7426" max="7426" width="52" style="309" customWidth="1"/>
    <col min="7427" max="7427" width="16.28515625" style="309" bestFit="1" customWidth="1"/>
    <col min="7428" max="7680" width="9.140625" style="309"/>
    <col min="7681" max="7681" width="5.5703125" style="309" customWidth="1"/>
    <col min="7682" max="7682" width="52" style="309" customWidth="1"/>
    <col min="7683" max="7683" width="16.28515625" style="309" bestFit="1" customWidth="1"/>
    <col min="7684" max="7936" width="9.140625" style="309"/>
    <col min="7937" max="7937" width="5.5703125" style="309" customWidth="1"/>
    <col min="7938" max="7938" width="52" style="309" customWidth="1"/>
    <col min="7939" max="7939" width="16.28515625" style="309" bestFit="1" customWidth="1"/>
    <col min="7940" max="8192" width="9.140625" style="309"/>
    <col min="8193" max="8193" width="5.5703125" style="309" customWidth="1"/>
    <col min="8194" max="8194" width="52" style="309" customWidth="1"/>
    <col min="8195" max="8195" width="16.28515625" style="309" bestFit="1" customWidth="1"/>
    <col min="8196" max="8448" width="9.140625" style="309"/>
    <col min="8449" max="8449" width="5.5703125" style="309" customWidth="1"/>
    <col min="8450" max="8450" width="52" style="309" customWidth="1"/>
    <col min="8451" max="8451" width="16.28515625" style="309" bestFit="1" customWidth="1"/>
    <col min="8452" max="8704" width="9.140625" style="309"/>
    <col min="8705" max="8705" width="5.5703125" style="309" customWidth="1"/>
    <col min="8706" max="8706" width="52" style="309" customWidth="1"/>
    <col min="8707" max="8707" width="16.28515625" style="309" bestFit="1" customWidth="1"/>
    <col min="8708" max="8960" width="9.140625" style="309"/>
    <col min="8961" max="8961" width="5.5703125" style="309" customWidth="1"/>
    <col min="8962" max="8962" width="52" style="309" customWidth="1"/>
    <col min="8963" max="8963" width="16.28515625" style="309" bestFit="1" customWidth="1"/>
    <col min="8964" max="9216" width="9.140625" style="309"/>
    <col min="9217" max="9217" width="5.5703125" style="309" customWidth="1"/>
    <col min="9218" max="9218" width="52" style="309" customWidth="1"/>
    <col min="9219" max="9219" width="16.28515625" style="309" bestFit="1" customWidth="1"/>
    <col min="9220" max="9472" width="9.140625" style="309"/>
    <col min="9473" max="9473" width="5.5703125" style="309" customWidth="1"/>
    <col min="9474" max="9474" width="52" style="309" customWidth="1"/>
    <col min="9475" max="9475" width="16.28515625" style="309" bestFit="1" customWidth="1"/>
    <col min="9476" max="9728" width="9.140625" style="309"/>
    <col min="9729" max="9729" width="5.5703125" style="309" customWidth="1"/>
    <col min="9730" max="9730" width="52" style="309" customWidth="1"/>
    <col min="9731" max="9731" width="16.28515625" style="309" bestFit="1" customWidth="1"/>
    <col min="9732" max="9984" width="9.140625" style="309"/>
    <col min="9985" max="9985" width="5.5703125" style="309" customWidth="1"/>
    <col min="9986" max="9986" width="52" style="309" customWidth="1"/>
    <col min="9987" max="9987" width="16.28515625" style="309" bestFit="1" customWidth="1"/>
    <col min="9988" max="10240" width="9.140625" style="309"/>
    <col min="10241" max="10241" width="5.5703125" style="309" customWidth="1"/>
    <col min="10242" max="10242" width="52" style="309" customWidth="1"/>
    <col min="10243" max="10243" width="16.28515625" style="309" bestFit="1" customWidth="1"/>
    <col min="10244" max="10496" width="9.140625" style="309"/>
    <col min="10497" max="10497" width="5.5703125" style="309" customWidth="1"/>
    <col min="10498" max="10498" width="52" style="309" customWidth="1"/>
    <col min="10499" max="10499" width="16.28515625" style="309" bestFit="1" customWidth="1"/>
    <col min="10500" max="10752" width="9.140625" style="309"/>
    <col min="10753" max="10753" width="5.5703125" style="309" customWidth="1"/>
    <col min="10754" max="10754" width="52" style="309" customWidth="1"/>
    <col min="10755" max="10755" width="16.28515625" style="309" bestFit="1" customWidth="1"/>
    <col min="10756" max="11008" width="9.140625" style="309"/>
    <col min="11009" max="11009" width="5.5703125" style="309" customWidth="1"/>
    <col min="11010" max="11010" width="52" style="309" customWidth="1"/>
    <col min="11011" max="11011" width="16.28515625" style="309" bestFit="1" customWidth="1"/>
    <col min="11012" max="11264" width="9.140625" style="309"/>
    <col min="11265" max="11265" width="5.5703125" style="309" customWidth="1"/>
    <col min="11266" max="11266" width="52" style="309" customWidth="1"/>
    <col min="11267" max="11267" width="16.28515625" style="309" bestFit="1" customWidth="1"/>
    <col min="11268" max="11520" width="9.140625" style="309"/>
    <col min="11521" max="11521" width="5.5703125" style="309" customWidth="1"/>
    <col min="11522" max="11522" width="52" style="309" customWidth="1"/>
    <col min="11523" max="11523" width="16.28515625" style="309" bestFit="1" customWidth="1"/>
    <col min="11524" max="11776" width="9.140625" style="309"/>
    <col min="11777" max="11777" width="5.5703125" style="309" customWidth="1"/>
    <col min="11778" max="11778" width="52" style="309" customWidth="1"/>
    <col min="11779" max="11779" width="16.28515625" style="309" bestFit="1" customWidth="1"/>
    <col min="11780" max="12032" width="9.140625" style="309"/>
    <col min="12033" max="12033" width="5.5703125" style="309" customWidth="1"/>
    <col min="12034" max="12034" width="52" style="309" customWidth="1"/>
    <col min="12035" max="12035" width="16.28515625" style="309" bestFit="1" customWidth="1"/>
    <col min="12036" max="12288" width="9.140625" style="309"/>
    <col min="12289" max="12289" width="5.5703125" style="309" customWidth="1"/>
    <col min="12290" max="12290" width="52" style="309" customWidth="1"/>
    <col min="12291" max="12291" width="16.28515625" style="309" bestFit="1" customWidth="1"/>
    <col min="12292" max="12544" width="9.140625" style="309"/>
    <col min="12545" max="12545" width="5.5703125" style="309" customWidth="1"/>
    <col min="12546" max="12546" width="52" style="309" customWidth="1"/>
    <col min="12547" max="12547" width="16.28515625" style="309" bestFit="1" customWidth="1"/>
    <col min="12548" max="12800" width="9.140625" style="309"/>
    <col min="12801" max="12801" width="5.5703125" style="309" customWidth="1"/>
    <col min="12802" max="12802" width="52" style="309" customWidth="1"/>
    <col min="12803" max="12803" width="16.28515625" style="309" bestFit="1" customWidth="1"/>
    <col min="12804" max="13056" width="9.140625" style="309"/>
    <col min="13057" max="13057" width="5.5703125" style="309" customWidth="1"/>
    <col min="13058" max="13058" width="52" style="309" customWidth="1"/>
    <col min="13059" max="13059" width="16.28515625" style="309" bestFit="1" customWidth="1"/>
    <col min="13060" max="13312" width="9.140625" style="309"/>
    <col min="13313" max="13313" width="5.5703125" style="309" customWidth="1"/>
    <col min="13314" max="13314" width="52" style="309" customWidth="1"/>
    <col min="13315" max="13315" width="16.28515625" style="309" bestFit="1" customWidth="1"/>
    <col min="13316" max="13568" width="9.140625" style="309"/>
    <col min="13569" max="13569" width="5.5703125" style="309" customWidth="1"/>
    <col min="13570" max="13570" width="52" style="309" customWidth="1"/>
    <col min="13571" max="13571" width="16.28515625" style="309" bestFit="1" customWidth="1"/>
    <col min="13572" max="13824" width="9.140625" style="309"/>
    <col min="13825" max="13825" width="5.5703125" style="309" customWidth="1"/>
    <col min="13826" max="13826" width="52" style="309" customWidth="1"/>
    <col min="13827" max="13827" width="16.28515625" style="309" bestFit="1" customWidth="1"/>
    <col min="13828" max="14080" width="9.140625" style="309"/>
    <col min="14081" max="14081" width="5.5703125" style="309" customWidth="1"/>
    <col min="14082" max="14082" width="52" style="309" customWidth="1"/>
    <col min="14083" max="14083" width="16.28515625" style="309" bestFit="1" customWidth="1"/>
    <col min="14084" max="14336" width="9.140625" style="309"/>
    <col min="14337" max="14337" width="5.5703125" style="309" customWidth="1"/>
    <col min="14338" max="14338" width="52" style="309" customWidth="1"/>
    <col min="14339" max="14339" width="16.28515625" style="309" bestFit="1" customWidth="1"/>
    <col min="14340" max="14592" width="9.140625" style="309"/>
    <col min="14593" max="14593" width="5.5703125" style="309" customWidth="1"/>
    <col min="14594" max="14594" width="52" style="309" customWidth="1"/>
    <col min="14595" max="14595" width="16.28515625" style="309" bestFit="1" customWidth="1"/>
    <col min="14596" max="14848" width="9.140625" style="309"/>
    <col min="14849" max="14849" width="5.5703125" style="309" customWidth="1"/>
    <col min="14850" max="14850" width="52" style="309" customWidth="1"/>
    <col min="14851" max="14851" width="16.28515625" style="309" bestFit="1" customWidth="1"/>
    <col min="14852" max="15104" width="9.140625" style="309"/>
    <col min="15105" max="15105" width="5.5703125" style="309" customWidth="1"/>
    <col min="15106" max="15106" width="52" style="309" customWidth="1"/>
    <col min="15107" max="15107" width="16.28515625" style="309" bestFit="1" customWidth="1"/>
    <col min="15108" max="15360" width="9.140625" style="309"/>
    <col min="15361" max="15361" width="5.5703125" style="309" customWidth="1"/>
    <col min="15362" max="15362" width="52" style="309" customWidth="1"/>
    <col min="15363" max="15363" width="16.28515625" style="309" bestFit="1" customWidth="1"/>
    <col min="15364" max="15616" width="9.140625" style="309"/>
    <col min="15617" max="15617" width="5.5703125" style="309" customWidth="1"/>
    <col min="15618" max="15618" width="52" style="309" customWidth="1"/>
    <col min="15619" max="15619" width="16.28515625" style="309" bestFit="1" customWidth="1"/>
    <col min="15620" max="15872" width="9.140625" style="309"/>
    <col min="15873" max="15873" width="5.5703125" style="309" customWidth="1"/>
    <col min="15874" max="15874" width="52" style="309" customWidth="1"/>
    <col min="15875" max="15875" width="16.28515625" style="309" bestFit="1" customWidth="1"/>
    <col min="15876" max="16128" width="9.140625" style="309"/>
    <col min="16129" max="16129" width="5.5703125" style="309" customWidth="1"/>
    <col min="16130" max="16130" width="52" style="309" customWidth="1"/>
    <col min="16131" max="16131" width="16.28515625" style="309" bestFit="1" customWidth="1"/>
    <col min="16132" max="16384" width="9.140625" style="309"/>
  </cols>
  <sheetData>
    <row r="1" spans="1:3" ht="18.75">
      <c r="A1" s="308"/>
    </row>
    <row r="2" spans="1:3" ht="20.25">
      <c r="A2" s="310" t="s">
        <v>715</v>
      </c>
    </row>
    <row r="3" spans="1:3">
      <c r="A3" s="309" t="s">
        <v>716</v>
      </c>
    </row>
    <row r="5" spans="1:3" ht="17.25" thickBot="1">
      <c r="A5" s="311" t="s">
        <v>717</v>
      </c>
      <c r="C5" s="309" t="s">
        <v>718</v>
      </c>
    </row>
    <row r="6" spans="1:3" s="313" customFormat="1" ht="17.25" thickBot="1">
      <c r="A6" s="312"/>
      <c r="B6" s="312" t="s">
        <v>719</v>
      </c>
      <c r="C6" s="312" t="s">
        <v>720</v>
      </c>
    </row>
    <row r="7" spans="1:3">
      <c r="A7" s="314"/>
      <c r="B7" s="314"/>
      <c r="C7" s="315"/>
    </row>
    <row r="8" spans="1:3">
      <c r="A8" s="316">
        <v>1</v>
      </c>
      <c r="B8" s="314" t="s">
        <v>721</v>
      </c>
      <c r="C8" s="315" t="s">
        <v>722</v>
      </c>
    </row>
    <row r="9" spans="1:3" hidden="1">
      <c r="A9" s="314" t="s">
        <v>723</v>
      </c>
      <c r="B9" s="314"/>
      <c r="C9" s="315"/>
    </row>
    <row r="10" spans="1:3" hidden="1">
      <c r="A10" s="316">
        <v>1</v>
      </c>
      <c r="B10" s="314" t="s">
        <v>724</v>
      </c>
      <c r="C10" s="315">
        <v>0</v>
      </c>
    </row>
    <row r="11" spans="1:3">
      <c r="A11" s="314"/>
      <c r="B11" s="314"/>
      <c r="C11" s="314"/>
    </row>
    <row r="12" spans="1:3">
      <c r="A12" s="316">
        <v>2</v>
      </c>
      <c r="B12" s="314" t="s">
        <v>725</v>
      </c>
      <c r="C12" s="317">
        <f>+'1.Project Cost and MOF old'!D5</f>
        <v>19004500</v>
      </c>
    </row>
    <row r="13" spans="1:3">
      <c r="A13" s="316"/>
      <c r="B13" s="314"/>
      <c r="C13" s="314"/>
    </row>
    <row r="14" spans="1:3">
      <c r="A14" s="316">
        <v>3</v>
      </c>
      <c r="B14" s="314" t="str">
        <f>+'[8]1.Project Cost and MOF'!C7</f>
        <v>Furniture and Fixture</v>
      </c>
      <c r="C14" s="314">
        <f>+'1.Project Cost and MOF old'!D7</f>
        <v>0</v>
      </c>
    </row>
    <row r="15" spans="1:3">
      <c r="A15" s="316"/>
      <c r="B15" s="314"/>
      <c r="C15" s="314"/>
    </row>
    <row r="16" spans="1:3">
      <c r="A16" s="316">
        <v>4</v>
      </c>
      <c r="B16" s="314" t="s">
        <v>726</v>
      </c>
      <c r="C16" s="315">
        <f>+'1.Project Cost and MOF old'!D6</f>
        <v>18127932.961199999</v>
      </c>
    </row>
    <row r="17" spans="1:7">
      <c r="A17" s="316"/>
      <c r="B17" s="314"/>
      <c r="C17" s="315"/>
    </row>
    <row r="18" spans="1:7">
      <c r="A18" s="316">
        <v>5</v>
      </c>
      <c r="B18" s="314" t="str">
        <f>+'[8]1.Project Cost and MOF'!C9</f>
        <v>Transport vehical  (Refer van and other)</v>
      </c>
      <c r="C18" s="315">
        <f>+'1.Project Cost and MOF old'!D9</f>
        <v>0</v>
      </c>
    </row>
    <row r="19" spans="1:7">
      <c r="A19" s="316"/>
      <c r="B19" s="314"/>
      <c r="C19" s="315"/>
    </row>
    <row r="20" spans="1:7">
      <c r="A20" s="316">
        <v>6</v>
      </c>
      <c r="B20" s="314" t="str">
        <f>+'1.Project Cost and MOF old'!C8</f>
        <v>IT &amp; It Infrastracture</v>
      </c>
      <c r="C20" s="315">
        <f>+'1.Project Cost and MOF old'!D8</f>
        <v>0</v>
      </c>
    </row>
    <row r="21" spans="1:7">
      <c r="A21" s="316" t="s">
        <v>727</v>
      </c>
      <c r="B21" s="314"/>
      <c r="C21" s="315"/>
    </row>
    <row r="22" spans="1:7">
      <c r="A22" s="316">
        <v>7</v>
      </c>
      <c r="B22" s="314" t="str">
        <f>+'[8]1.Project Cost and MOF'!C10</f>
        <v>Preliminary Expenses</v>
      </c>
      <c r="C22" s="315">
        <f>+'1.Project Cost and MOF old'!D10</f>
        <v>1883203</v>
      </c>
    </row>
    <row r="23" spans="1:7">
      <c r="A23" s="316"/>
      <c r="B23" s="314"/>
      <c r="C23" s="315"/>
    </row>
    <row r="24" spans="1:7">
      <c r="A24" s="316">
        <v>5</v>
      </c>
      <c r="B24" s="314" t="s">
        <v>728</v>
      </c>
      <c r="C24" s="315">
        <f>+'1.Project Cost and MOF old'!D11</f>
        <v>955691.00195066223</v>
      </c>
    </row>
    <row r="25" spans="1:7">
      <c r="A25" s="316"/>
      <c r="B25" s="314"/>
      <c r="C25" s="315"/>
    </row>
    <row r="26" spans="1:7" ht="17.25" thickBot="1">
      <c r="A26" s="316"/>
      <c r="B26" s="318" t="s">
        <v>729</v>
      </c>
      <c r="C26" s="319">
        <f>+SUM(C10:C25)</f>
        <v>39971326.963150658</v>
      </c>
      <c r="E26" s="309">
        <v>50</v>
      </c>
      <c r="F26" s="320">
        <f>+'1.Project Cost and MOF old'!D12</f>
        <v>39971326.963150658</v>
      </c>
      <c r="G26" s="320">
        <f>+C26-F26</f>
        <v>0</v>
      </c>
    </row>
    <row r="27" spans="1:7" ht="18" thickTop="1" thickBot="1">
      <c r="A27" s="321"/>
      <c r="B27" s="321"/>
      <c r="C27" s="321"/>
    </row>
    <row r="28" spans="1:7" ht="17.25" thickBot="1">
      <c r="A28" s="322" t="s">
        <v>730</v>
      </c>
      <c r="C28" s="323"/>
    </row>
    <row r="29" spans="1:7">
      <c r="A29" s="324"/>
      <c r="B29" s="324"/>
      <c r="C29" s="324"/>
    </row>
    <row r="30" spans="1:7">
      <c r="A30" s="314"/>
      <c r="B30" s="314" t="s">
        <v>337</v>
      </c>
      <c r="C30" s="314">
        <f>+'1.Project Cost and MOF old'!F19</f>
        <v>23409381.576719999</v>
      </c>
    </row>
    <row r="31" spans="1:7">
      <c r="A31" s="314"/>
      <c r="B31" s="314"/>
      <c r="C31" s="314"/>
    </row>
    <row r="32" spans="1:7">
      <c r="A32" s="316">
        <v>1</v>
      </c>
      <c r="B32" s="314" t="s">
        <v>731</v>
      </c>
      <c r="C32" s="315">
        <f>+'1.Project Cost and MOF old'!F21</f>
        <v>5422215.4980706591</v>
      </c>
    </row>
    <row r="33" spans="1:6">
      <c r="A33" s="316"/>
      <c r="B33" s="314"/>
      <c r="C33" s="314"/>
    </row>
    <row r="34" spans="1:6">
      <c r="A34" s="316">
        <v>2</v>
      </c>
      <c r="B34" s="314" t="s">
        <v>732</v>
      </c>
      <c r="C34" s="315">
        <f>+'1.Project Cost and MOF old'!F20</f>
        <v>11139729.888359999</v>
      </c>
      <c r="F34" s="320"/>
    </row>
    <row r="35" spans="1:6">
      <c r="A35" s="316"/>
      <c r="B35" s="314"/>
      <c r="C35" s="325"/>
    </row>
    <row r="36" spans="1:6" hidden="1">
      <c r="A36" s="316">
        <v>3</v>
      </c>
      <c r="B36" s="314" t="s">
        <v>733</v>
      </c>
      <c r="C36" s="315">
        <v>0</v>
      </c>
      <c r="F36" s="320"/>
    </row>
    <row r="37" spans="1:6">
      <c r="A37" s="316"/>
      <c r="B37" s="314"/>
      <c r="C37" s="315"/>
      <c r="F37" s="320"/>
    </row>
    <row r="38" spans="1:6" ht="33" hidden="1">
      <c r="A38" s="316">
        <v>4</v>
      </c>
      <c r="B38" s="326" t="str">
        <f>+[11]Assumption!A45</f>
        <v>Capital Subsidy/ Benefit from other Central/ State Scheme</v>
      </c>
      <c r="C38" s="315">
        <v>0</v>
      </c>
      <c r="F38" s="320"/>
    </row>
    <row r="39" spans="1:6">
      <c r="A39" s="316"/>
      <c r="B39" s="314"/>
      <c r="C39" s="314"/>
    </row>
    <row r="40" spans="1:6" ht="17.25" thickBot="1">
      <c r="A40" s="316"/>
      <c r="B40" s="318" t="s">
        <v>729</v>
      </c>
      <c r="C40" s="319">
        <f>+SUM(C29:C39)</f>
        <v>39971326.963150658</v>
      </c>
    </row>
    <row r="41" spans="1:6" ht="18" thickTop="1" thickBot="1">
      <c r="A41" s="327"/>
      <c r="B41" s="321"/>
      <c r="C41" s="321"/>
    </row>
    <row r="128" spans="1:9">
      <c r="A128" s="309" t="s">
        <v>734</v>
      </c>
      <c r="I128" s="309" t="s">
        <v>734</v>
      </c>
    </row>
    <row r="130" spans="1:16">
      <c r="A130" s="309" t="s">
        <v>717</v>
      </c>
      <c r="I130" s="309" t="s">
        <v>717</v>
      </c>
    </row>
    <row r="131" spans="1:16">
      <c r="E131" s="309" t="s">
        <v>735</v>
      </c>
      <c r="P131" s="309" t="s">
        <v>735</v>
      </c>
    </row>
    <row r="132" spans="1:16">
      <c r="A132" s="309" t="s">
        <v>706</v>
      </c>
      <c r="B132" s="309" t="s">
        <v>706</v>
      </c>
      <c r="C132" s="309" t="s">
        <v>706</v>
      </c>
      <c r="D132" s="309" t="s">
        <v>706</v>
      </c>
      <c r="E132" s="309" t="s">
        <v>706</v>
      </c>
      <c r="I132" s="309" t="s">
        <v>706</v>
      </c>
      <c r="J132" s="309" t="s">
        <v>706</v>
      </c>
      <c r="K132" s="309" t="s">
        <v>706</v>
      </c>
      <c r="L132" s="309" t="s">
        <v>706</v>
      </c>
      <c r="M132" s="309" t="s">
        <v>706</v>
      </c>
      <c r="N132" s="309" t="s">
        <v>706</v>
      </c>
      <c r="O132" s="309" t="s">
        <v>706</v>
      </c>
      <c r="P132" s="309" t="s">
        <v>706</v>
      </c>
    </row>
    <row r="133" spans="1:16">
      <c r="C133" s="309" t="s">
        <v>736</v>
      </c>
      <c r="D133" s="309" t="s">
        <v>737</v>
      </c>
      <c r="K133" s="309" t="s">
        <v>736</v>
      </c>
      <c r="L133" s="309" t="s">
        <v>738</v>
      </c>
      <c r="M133" s="309" t="s">
        <v>739</v>
      </c>
      <c r="N133" s="309" t="s">
        <v>740</v>
      </c>
      <c r="O133" s="309" t="s">
        <v>737</v>
      </c>
    </row>
    <row r="134" spans="1:16">
      <c r="B134" s="309" t="s">
        <v>719</v>
      </c>
      <c r="C134" s="309" t="s">
        <v>741</v>
      </c>
      <c r="D134" s="309" t="s">
        <v>742</v>
      </c>
      <c r="E134" s="309" t="s">
        <v>743</v>
      </c>
      <c r="J134" s="309" t="s">
        <v>719</v>
      </c>
      <c r="K134" s="309" t="s">
        <v>741</v>
      </c>
      <c r="L134" s="309" t="e">
        <v>#NAME?</v>
      </c>
      <c r="M134" s="309" t="s">
        <v>744</v>
      </c>
      <c r="N134" s="309" t="s">
        <v>742</v>
      </c>
      <c r="O134" s="309" t="s">
        <v>742</v>
      </c>
      <c r="P134" s="309" t="s">
        <v>743</v>
      </c>
    </row>
    <row r="135" spans="1:16">
      <c r="C135" s="309" t="s">
        <v>744</v>
      </c>
      <c r="K135" s="309" t="s">
        <v>744</v>
      </c>
      <c r="L135" s="309" t="s">
        <v>744</v>
      </c>
    </row>
    <row r="136" spans="1:16">
      <c r="A136" s="309" t="s">
        <v>706</v>
      </c>
      <c r="B136" s="309" t="s">
        <v>706</v>
      </c>
      <c r="C136" s="309" t="s">
        <v>706</v>
      </c>
      <c r="D136" s="309" t="s">
        <v>706</v>
      </c>
      <c r="E136" s="309" t="s">
        <v>706</v>
      </c>
      <c r="I136" s="309" t="s">
        <v>706</v>
      </c>
      <c r="J136" s="309" t="s">
        <v>706</v>
      </c>
      <c r="K136" s="309" t="s">
        <v>706</v>
      </c>
      <c r="L136" s="309" t="s">
        <v>706</v>
      </c>
      <c r="M136" s="309" t="s">
        <v>706</v>
      </c>
      <c r="N136" s="309" t="s">
        <v>706</v>
      </c>
      <c r="O136" s="309" t="s">
        <v>706</v>
      </c>
      <c r="P136" s="309" t="s">
        <v>706</v>
      </c>
    </row>
    <row r="138" spans="1:16">
      <c r="B138" s="309" t="s">
        <v>745</v>
      </c>
      <c r="C138" s="309">
        <v>0.25</v>
      </c>
      <c r="D138" s="309">
        <v>0.5</v>
      </c>
      <c r="E138" s="309">
        <v>1.2</v>
      </c>
      <c r="J138" s="309" t="s">
        <v>745</v>
      </c>
      <c r="K138" s="309">
        <v>0.25</v>
      </c>
      <c r="L138" s="309">
        <v>0.25</v>
      </c>
      <c r="M138" s="309">
        <v>0.1</v>
      </c>
      <c r="N138" s="309">
        <v>0.1</v>
      </c>
      <c r="O138" s="309">
        <v>0.5</v>
      </c>
      <c r="P138" s="309">
        <v>1.2</v>
      </c>
    </row>
    <row r="140" spans="1:16">
      <c r="B140" s="309" t="s">
        <v>746</v>
      </c>
      <c r="C140" s="309">
        <v>1.5</v>
      </c>
      <c r="D140" s="309">
        <v>2</v>
      </c>
      <c r="E140" s="309">
        <v>6</v>
      </c>
      <c r="J140" s="309" t="s">
        <v>746</v>
      </c>
      <c r="K140" s="309">
        <v>1.5</v>
      </c>
      <c r="L140" s="309">
        <v>1</v>
      </c>
      <c r="M140" s="309">
        <v>1</v>
      </c>
      <c r="N140" s="309">
        <v>0.5</v>
      </c>
      <c r="O140" s="309">
        <v>2</v>
      </c>
      <c r="P140" s="309">
        <v>6</v>
      </c>
    </row>
    <row r="142" spans="1:16">
      <c r="B142" s="309" t="s">
        <v>726</v>
      </c>
      <c r="C142" s="309">
        <v>10</v>
      </c>
      <c r="D142" s="309">
        <v>37</v>
      </c>
      <c r="E142" s="309">
        <v>71</v>
      </c>
      <c r="J142" s="309" t="s">
        <v>726</v>
      </c>
      <c r="K142" s="309">
        <v>10</v>
      </c>
      <c r="L142" s="309">
        <v>10</v>
      </c>
      <c r="M142" s="309">
        <v>10</v>
      </c>
      <c r="N142" s="309">
        <v>4</v>
      </c>
      <c r="O142" s="309">
        <v>37</v>
      </c>
      <c r="P142" s="309">
        <v>71</v>
      </c>
    </row>
    <row r="144" spans="1:16">
      <c r="B144" s="309" t="s">
        <v>747</v>
      </c>
      <c r="C144" s="309">
        <v>0.75</v>
      </c>
      <c r="D144" s="309">
        <v>0.5</v>
      </c>
      <c r="E144" s="309">
        <v>2.65</v>
      </c>
      <c r="J144" s="309" t="s">
        <v>747</v>
      </c>
      <c r="K144" s="309">
        <v>0.75</v>
      </c>
      <c r="L144" s="309">
        <v>0.75</v>
      </c>
      <c r="M144" s="309">
        <v>0.5</v>
      </c>
      <c r="N144" s="309">
        <v>0.15</v>
      </c>
      <c r="O144" s="309">
        <v>0.5</v>
      </c>
      <c r="P144" s="309">
        <v>2.65</v>
      </c>
    </row>
    <row r="145" spans="1:16">
      <c r="A145" s="309" t="s">
        <v>727</v>
      </c>
      <c r="I145" s="309" t="s">
        <v>727</v>
      </c>
    </row>
    <row r="146" spans="1:16">
      <c r="B146" s="309" t="s">
        <v>748</v>
      </c>
      <c r="C146" s="309">
        <v>0.25</v>
      </c>
      <c r="D146" s="309">
        <v>0.35</v>
      </c>
      <c r="E146" s="309">
        <v>1.1499999999999999</v>
      </c>
      <c r="J146" s="309" t="s">
        <v>748</v>
      </c>
      <c r="K146" s="309">
        <v>0.25</v>
      </c>
      <c r="L146" s="309">
        <v>0.25</v>
      </c>
      <c r="M146" s="309">
        <v>0.25</v>
      </c>
      <c r="N146" s="309">
        <v>0.05</v>
      </c>
      <c r="O146" s="309">
        <v>0.35</v>
      </c>
      <c r="P146" s="309">
        <v>1.1499999999999999</v>
      </c>
    </row>
    <row r="148" spans="1:16">
      <c r="B148" s="309" t="s">
        <v>749</v>
      </c>
      <c r="C148" s="309">
        <v>0.25</v>
      </c>
      <c r="D148" s="309">
        <v>0.5</v>
      </c>
      <c r="E148" s="309">
        <v>1.3</v>
      </c>
      <c r="J148" s="309" t="s">
        <v>749</v>
      </c>
      <c r="K148" s="309">
        <v>0.25</v>
      </c>
      <c r="L148" s="309">
        <v>0.25</v>
      </c>
      <c r="M148" s="309">
        <v>0.25</v>
      </c>
      <c r="N148" s="309">
        <v>0.05</v>
      </c>
      <c r="O148" s="309">
        <v>0.5</v>
      </c>
      <c r="P148" s="309">
        <v>1.3</v>
      </c>
    </row>
    <row r="150" spans="1:16">
      <c r="B150" s="309" t="s">
        <v>750</v>
      </c>
      <c r="C150" s="309">
        <v>0.5</v>
      </c>
      <c r="D150" s="309">
        <v>1.9</v>
      </c>
      <c r="E150" s="309">
        <v>3.6</v>
      </c>
      <c r="J150" s="309" t="s">
        <v>750</v>
      </c>
      <c r="K150" s="309">
        <v>0.5</v>
      </c>
      <c r="L150" s="309">
        <v>0.5</v>
      </c>
      <c r="M150" s="309">
        <v>0.5</v>
      </c>
      <c r="N150" s="309">
        <v>0.2</v>
      </c>
      <c r="O150" s="309">
        <v>1.9</v>
      </c>
      <c r="P150" s="309">
        <v>3.6</v>
      </c>
    </row>
    <row r="152" spans="1:16">
      <c r="B152" s="309" t="s">
        <v>728</v>
      </c>
      <c r="C152" s="309">
        <v>2.5</v>
      </c>
      <c r="D152" s="309">
        <v>1</v>
      </c>
      <c r="E152" s="309">
        <v>8.5</v>
      </c>
      <c r="J152" s="309" t="s">
        <v>728</v>
      </c>
      <c r="K152" s="309">
        <v>2.5</v>
      </c>
      <c r="L152" s="309">
        <v>2</v>
      </c>
      <c r="M152" s="309">
        <v>2</v>
      </c>
      <c r="N152" s="309">
        <v>1</v>
      </c>
      <c r="O152" s="309">
        <v>1</v>
      </c>
      <c r="P152" s="309">
        <v>8.5</v>
      </c>
    </row>
    <row r="154" spans="1:16">
      <c r="B154" s="309" t="s">
        <v>751</v>
      </c>
      <c r="C154" s="309">
        <v>0</v>
      </c>
      <c r="D154" s="309">
        <v>4</v>
      </c>
      <c r="E154" s="309">
        <v>4</v>
      </c>
      <c r="J154" s="309" t="s">
        <v>751</v>
      </c>
      <c r="K154" s="309">
        <v>0</v>
      </c>
      <c r="L154" s="309">
        <v>0</v>
      </c>
      <c r="M154" s="309">
        <v>0</v>
      </c>
      <c r="N154" s="309">
        <v>0</v>
      </c>
      <c r="O154" s="309">
        <v>4</v>
      </c>
      <c r="P154" s="309">
        <v>4</v>
      </c>
    </row>
    <row r="157" spans="1:16">
      <c r="A157" s="309" t="s">
        <v>706</v>
      </c>
      <c r="B157" s="309" t="s">
        <v>706</v>
      </c>
      <c r="C157" s="309" t="s">
        <v>706</v>
      </c>
      <c r="D157" s="309" t="s">
        <v>706</v>
      </c>
      <c r="E157" s="309" t="s">
        <v>706</v>
      </c>
      <c r="I157" s="309" t="s">
        <v>706</v>
      </c>
      <c r="J157" s="309" t="s">
        <v>706</v>
      </c>
      <c r="K157" s="309" t="s">
        <v>706</v>
      </c>
      <c r="L157" s="309" t="s">
        <v>706</v>
      </c>
      <c r="M157" s="309" t="s">
        <v>706</v>
      </c>
      <c r="N157" s="309" t="s">
        <v>706</v>
      </c>
      <c r="O157" s="309" t="s">
        <v>706</v>
      </c>
      <c r="P157" s="309" t="s">
        <v>706</v>
      </c>
    </row>
    <row r="158" spans="1:16">
      <c r="B158" s="309" t="s">
        <v>729</v>
      </c>
      <c r="C158" s="309">
        <v>16</v>
      </c>
      <c r="D158" s="309">
        <v>47.75</v>
      </c>
      <c r="E158" s="309">
        <v>99.4</v>
      </c>
      <c r="J158" s="309" t="s">
        <v>729</v>
      </c>
      <c r="K158" s="309">
        <v>16</v>
      </c>
      <c r="L158" s="309">
        <v>15</v>
      </c>
      <c r="M158" s="309">
        <v>14.6</v>
      </c>
      <c r="N158" s="309">
        <v>6.05</v>
      </c>
      <c r="O158" s="309">
        <v>47.75</v>
      </c>
      <c r="P158" s="309">
        <v>99.4</v>
      </c>
    </row>
    <row r="159" spans="1:16">
      <c r="A159" s="309" t="s">
        <v>752</v>
      </c>
      <c r="B159" s="309" t="s">
        <v>752</v>
      </c>
      <c r="C159" s="309" t="s">
        <v>752</v>
      </c>
      <c r="D159" s="309" t="s">
        <v>752</v>
      </c>
      <c r="E159" s="309" t="s">
        <v>752</v>
      </c>
      <c r="I159" s="309" t="s">
        <v>752</v>
      </c>
      <c r="J159" s="309" t="s">
        <v>752</v>
      </c>
      <c r="K159" s="309" t="s">
        <v>752</v>
      </c>
      <c r="L159" s="309" t="s">
        <v>752</v>
      </c>
      <c r="M159" s="309" t="s">
        <v>752</v>
      </c>
      <c r="N159" s="309" t="s">
        <v>752</v>
      </c>
      <c r="O159" s="309" t="s">
        <v>752</v>
      </c>
      <c r="P159" s="309" t="s">
        <v>752</v>
      </c>
    </row>
    <row r="161" spans="1:12">
      <c r="A161" s="309" t="s">
        <v>730</v>
      </c>
      <c r="I161" s="309" t="s">
        <v>730</v>
      </c>
    </row>
    <row r="162" spans="1:12">
      <c r="A162" s="309" t="s">
        <v>706</v>
      </c>
      <c r="B162" s="309" t="s">
        <v>706</v>
      </c>
      <c r="C162" s="309" t="s">
        <v>706</v>
      </c>
      <c r="I162" s="309" t="s">
        <v>706</v>
      </c>
      <c r="J162" s="309" t="s">
        <v>706</v>
      </c>
      <c r="K162" s="309" t="s">
        <v>706</v>
      </c>
      <c r="L162" s="309" t="s">
        <v>706</v>
      </c>
    </row>
    <row r="163" spans="1:12">
      <c r="B163" s="309" t="s">
        <v>753</v>
      </c>
      <c r="J163" s="309" t="s">
        <v>753</v>
      </c>
      <c r="L163" s="309" t="s">
        <v>754</v>
      </c>
    </row>
    <row r="164" spans="1:12">
      <c r="A164" s="309" t="s">
        <v>706</v>
      </c>
      <c r="B164" s="309" t="s">
        <v>706</v>
      </c>
      <c r="C164" s="309" t="s">
        <v>706</v>
      </c>
      <c r="I164" s="309" t="s">
        <v>706</v>
      </c>
      <c r="J164" s="309" t="s">
        <v>706</v>
      </c>
      <c r="K164" s="309" t="s">
        <v>706</v>
      </c>
      <c r="L164" s="309" t="s">
        <v>706</v>
      </c>
    </row>
    <row r="166" spans="1:12">
      <c r="B166" s="309" t="s">
        <v>755</v>
      </c>
      <c r="J166" s="309" t="s">
        <v>755</v>
      </c>
    </row>
    <row r="168" spans="1:12">
      <c r="B168" s="309" t="s">
        <v>756</v>
      </c>
      <c r="C168" s="309">
        <v>15</v>
      </c>
      <c r="J168" s="309" t="s">
        <v>756</v>
      </c>
      <c r="K168" s="309">
        <v>15</v>
      </c>
    </row>
    <row r="169" spans="1:12">
      <c r="B169" s="309" t="s">
        <v>757</v>
      </c>
      <c r="C169" s="309">
        <v>19.399999999999999</v>
      </c>
      <c r="J169" s="309" t="s">
        <v>757</v>
      </c>
      <c r="K169" s="309">
        <v>19.399999999999999</v>
      </c>
    </row>
    <row r="170" spans="1:12">
      <c r="C170" s="309" t="s">
        <v>706</v>
      </c>
      <c r="K170" s="309" t="s">
        <v>706</v>
      </c>
      <c r="L170" s="309">
        <v>34.4</v>
      </c>
    </row>
    <row r="172" spans="1:12">
      <c r="B172" s="309" t="s">
        <v>758</v>
      </c>
      <c r="J172" s="309" t="s">
        <v>758</v>
      </c>
      <c r="L172" s="309">
        <v>35</v>
      </c>
    </row>
    <row r="174" spans="1:12">
      <c r="B174" s="309" t="s">
        <v>759</v>
      </c>
      <c r="J174" s="309" t="s">
        <v>759</v>
      </c>
      <c r="L174" s="309">
        <v>30</v>
      </c>
    </row>
    <row r="178" spans="1:12">
      <c r="A178" s="309" t="s">
        <v>706</v>
      </c>
      <c r="B178" s="309" t="s">
        <v>706</v>
      </c>
      <c r="C178" s="309" t="s">
        <v>706</v>
      </c>
      <c r="I178" s="309" t="s">
        <v>706</v>
      </c>
      <c r="J178" s="309" t="s">
        <v>706</v>
      </c>
      <c r="K178" s="309" t="s">
        <v>706</v>
      </c>
      <c r="L178" s="309" t="s">
        <v>706</v>
      </c>
    </row>
    <row r="179" spans="1:12">
      <c r="B179" s="309" t="s">
        <v>729</v>
      </c>
      <c r="J179" s="309" t="s">
        <v>729</v>
      </c>
      <c r="L179" s="309">
        <v>99.4</v>
      </c>
    </row>
    <row r="180" spans="1:12">
      <c r="A180" s="309" t="s">
        <v>752</v>
      </c>
      <c r="B180" s="309" t="s">
        <v>752</v>
      </c>
      <c r="C180" s="309" t="s">
        <v>752</v>
      </c>
      <c r="I180" s="309" t="s">
        <v>752</v>
      </c>
      <c r="J180" s="309" t="s">
        <v>752</v>
      </c>
      <c r="K180" s="309" t="s">
        <v>752</v>
      </c>
      <c r="L180" s="309" t="s">
        <v>752</v>
      </c>
    </row>
    <row r="203" spans="1:5">
      <c r="A203" s="309" t="s">
        <v>734</v>
      </c>
    </row>
    <row r="205" spans="1:5">
      <c r="A205" s="309" t="s">
        <v>717</v>
      </c>
    </row>
    <row r="206" spans="1:5">
      <c r="E206" s="309" t="s">
        <v>735</v>
      </c>
    </row>
    <row r="207" spans="1:5">
      <c r="A207" s="309" t="s">
        <v>706</v>
      </c>
      <c r="B207" s="309" t="s">
        <v>706</v>
      </c>
      <c r="C207" s="309" t="s">
        <v>706</v>
      </c>
      <c r="D207" s="309" t="s">
        <v>706</v>
      </c>
      <c r="E207" s="309" t="s">
        <v>706</v>
      </c>
    </row>
    <row r="208" spans="1:5">
      <c r="C208" s="309" t="s">
        <v>736</v>
      </c>
      <c r="D208" s="309" t="s">
        <v>737</v>
      </c>
    </row>
    <row r="209" spans="1:5">
      <c r="B209" s="309" t="s">
        <v>719</v>
      </c>
      <c r="C209" s="309" t="s">
        <v>741</v>
      </c>
      <c r="D209" s="309" t="s">
        <v>742</v>
      </c>
      <c r="E209" s="309" t="s">
        <v>743</v>
      </c>
    </row>
    <row r="210" spans="1:5">
      <c r="C210" s="309" t="s">
        <v>744</v>
      </c>
    </row>
    <row r="211" spans="1:5">
      <c r="A211" s="309" t="s">
        <v>706</v>
      </c>
      <c r="B211" s="309" t="s">
        <v>706</v>
      </c>
      <c r="C211" s="309" t="s">
        <v>706</v>
      </c>
      <c r="D211" s="309" t="s">
        <v>706</v>
      </c>
      <c r="E211" s="309" t="s">
        <v>706</v>
      </c>
    </row>
    <row r="213" spans="1:5">
      <c r="B213" s="309" t="s">
        <v>745</v>
      </c>
      <c r="C213" s="309">
        <v>0.25</v>
      </c>
      <c r="D213" s="309">
        <v>0.5</v>
      </c>
      <c r="E213" s="309">
        <v>1.2</v>
      </c>
    </row>
    <row r="215" spans="1:5">
      <c r="B215" s="309" t="s">
        <v>746</v>
      </c>
      <c r="C215" s="309">
        <v>1.5</v>
      </c>
      <c r="D215" s="309">
        <v>2</v>
      </c>
      <c r="E215" s="309">
        <v>6</v>
      </c>
    </row>
    <row r="217" spans="1:5">
      <c r="B217" s="309" t="s">
        <v>726</v>
      </c>
      <c r="C217" s="309">
        <v>15</v>
      </c>
      <c r="D217" s="309">
        <v>55.75</v>
      </c>
      <c r="E217" s="309">
        <v>106.75</v>
      </c>
    </row>
    <row r="219" spans="1:5">
      <c r="B219" s="309" t="s">
        <v>747</v>
      </c>
      <c r="C219" s="309">
        <v>1.55</v>
      </c>
      <c r="D219" s="309">
        <v>1.03</v>
      </c>
      <c r="E219" s="309">
        <v>5.5</v>
      </c>
    </row>
    <row r="220" spans="1:5">
      <c r="A220" s="309" t="s">
        <v>727</v>
      </c>
    </row>
    <row r="221" spans="1:5">
      <c r="B221" s="309" t="s">
        <v>748</v>
      </c>
      <c r="C221" s="309">
        <v>0.9</v>
      </c>
      <c r="D221" s="309">
        <v>1.27</v>
      </c>
      <c r="E221" s="309">
        <v>4.1500000000000004</v>
      </c>
    </row>
    <row r="223" spans="1:5">
      <c r="B223" s="309" t="s">
        <v>749</v>
      </c>
      <c r="C223" s="309">
        <v>0.63</v>
      </c>
      <c r="D223" s="309">
        <v>1.26</v>
      </c>
      <c r="E223" s="309">
        <v>3.3</v>
      </c>
    </row>
    <row r="225" spans="1:5">
      <c r="B225" s="309" t="s">
        <v>750</v>
      </c>
      <c r="C225" s="309">
        <v>0.83</v>
      </c>
      <c r="D225" s="309">
        <v>3.18</v>
      </c>
      <c r="E225" s="309">
        <v>6</v>
      </c>
    </row>
    <row r="227" spans="1:5">
      <c r="B227" s="309" t="s">
        <v>728</v>
      </c>
      <c r="C227" s="309">
        <v>3.5</v>
      </c>
      <c r="D227" s="309">
        <v>2</v>
      </c>
      <c r="E227" s="309">
        <v>12.5</v>
      </c>
    </row>
    <row r="229" spans="1:5">
      <c r="B229" s="309" t="s">
        <v>751</v>
      </c>
      <c r="C229" s="309">
        <v>0</v>
      </c>
      <c r="D229" s="309">
        <v>4</v>
      </c>
      <c r="E229" s="309">
        <v>4</v>
      </c>
    </row>
    <row r="232" spans="1:5">
      <c r="A232" s="309" t="s">
        <v>706</v>
      </c>
      <c r="B232" s="309" t="s">
        <v>706</v>
      </c>
      <c r="C232" s="309" t="s">
        <v>706</v>
      </c>
      <c r="D232" s="309" t="s">
        <v>706</v>
      </c>
      <c r="E232" s="309" t="s">
        <v>706</v>
      </c>
    </row>
    <row r="233" spans="1:5">
      <c r="B233" s="309" t="s">
        <v>729</v>
      </c>
      <c r="C233" s="309">
        <v>24.16</v>
      </c>
      <c r="D233" s="309">
        <v>70.989999999999995</v>
      </c>
      <c r="E233" s="309">
        <v>149.4</v>
      </c>
    </row>
    <row r="234" spans="1:5">
      <c r="A234" s="309" t="s">
        <v>752</v>
      </c>
      <c r="B234" s="309" t="s">
        <v>752</v>
      </c>
      <c r="C234" s="309" t="s">
        <v>752</v>
      </c>
      <c r="D234" s="309" t="s">
        <v>752</v>
      </c>
      <c r="E234" s="309" t="s">
        <v>752</v>
      </c>
    </row>
    <row r="236" spans="1:5">
      <c r="A236" s="309" t="s">
        <v>730</v>
      </c>
    </row>
    <row r="237" spans="1:5">
      <c r="A237" s="309" t="s">
        <v>706</v>
      </c>
      <c r="B237" s="309" t="s">
        <v>706</v>
      </c>
      <c r="C237" s="309" t="s">
        <v>706</v>
      </c>
    </row>
    <row r="238" spans="1:5">
      <c r="B238" s="309" t="s">
        <v>753</v>
      </c>
    </row>
    <row r="239" spans="1:5">
      <c r="A239" s="309" t="s">
        <v>706</v>
      </c>
      <c r="B239" s="309" t="s">
        <v>706</v>
      </c>
      <c r="C239" s="309" t="s">
        <v>706</v>
      </c>
    </row>
    <row r="241" spans="1:3">
      <c r="B241" s="309" t="s">
        <v>755</v>
      </c>
    </row>
    <row r="243" spans="1:3">
      <c r="B243" s="309" t="s">
        <v>756</v>
      </c>
      <c r="C243" s="309">
        <v>15</v>
      </c>
    </row>
    <row r="244" spans="1:3">
      <c r="B244" s="309" t="s">
        <v>757</v>
      </c>
      <c r="C244" s="309">
        <v>39.4</v>
      </c>
    </row>
    <row r="245" spans="1:3">
      <c r="C245" s="309" t="s">
        <v>706</v>
      </c>
    </row>
    <row r="248" spans="1:3">
      <c r="B248" s="309" t="s">
        <v>760</v>
      </c>
    </row>
    <row r="252" spans="1:3">
      <c r="A252" s="309" t="s">
        <v>706</v>
      </c>
      <c r="B252" s="309" t="s">
        <v>706</v>
      </c>
      <c r="C252" s="309" t="s">
        <v>706</v>
      </c>
    </row>
    <row r="253" spans="1:3">
      <c r="B253" s="309" t="s">
        <v>729</v>
      </c>
    </row>
    <row r="254" spans="1:3">
      <c r="A254" s="309" t="s">
        <v>752</v>
      </c>
      <c r="B254" s="309" t="s">
        <v>752</v>
      </c>
      <c r="C254" s="309" t="s">
        <v>752</v>
      </c>
    </row>
  </sheetData>
  <pageMargins left="1.21" right="0.75" top="1.36" bottom="1" header="0.5" footer="0.5"/>
  <pageSetup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3"/>
  <sheetViews>
    <sheetView view="pageBreakPreview" zoomScaleSheetLayoutView="100" workbookViewId="0">
      <selection activeCell="D5" sqref="D5"/>
    </sheetView>
  </sheetViews>
  <sheetFormatPr defaultRowHeight="15"/>
  <cols>
    <col min="2" max="2" width="7.5703125" bestFit="1" customWidth="1"/>
    <col min="3" max="3" width="26.28515625" bestFit="1" customWidth="1"/>
    <col min="4" max="4" width="15" customWidth="1"/>
    <col min="5" max="5" width="16" customWidth="1"/>
    <col min="6" max="6" width="17.85546875" customWidth="1"/>
    <col min="8" max="8" width="14.28515625" customWidth="1"/>
    <col min="9" max="9" width="13.28515625" bestFit="1" customWidth="1"/>
    <col min="10" max="10" width="14.28515625" bestFit="1" customWidth="1"/>
    <col min="11" max="11" width="15.7109375" customWidth="1"/>
    <col min="15" max="15" width="17.7109375" customWidth="1"/>
  </cols>
  <sheetData>
    <row r="2" spans="1:9" ht="18.75">
      <c r="B2" s="724" t="s">
        <v>547</v>
      </c>
      <c r="C2" s="724"/>
      <c r="D2" s="724"/>
      <c r="E2" s="724"/>
      <c r="F2" s="724"/>
    </row>
    <row r="4" spans="1:9">
      <c r="B4" s="251" t="s">
        <v>145</v>
      </c>
      <c r="C4" s="251" t="s">
        <v>127</v>
      </c>
      <c r="D4" s="251" t="s">
        <v>159</v>
      </c>
      <c r="E4" s="256" t="s">
        <v>464</v>
      </c>
      <c r="F4" s="256" t="s">
        <v>465</v>
      </c>
    </row>
    <row r="5" spans="1:9">
      <c r="B5" s="252">
        <v>1</v>
      </c>
      <c r="C5" s="253" t="str">
        <f>'[10]2.Capex Details'!B2</f>
        <v>Land and Building</v>
      </c>
      <c r="D5" s="257">
        <f>+'2.Capex Details'!H15</f>
        <v>19004500</v>
      </c>
      <c r="E5" s="384">
        <v>0.6</v>
      </c>
      <c r="F5" s="259">
        <f t="shared" ref="F5:F10" si="0">D5*E5</f>
        <v>11402700</v>
      </c>
      <c r="H5" s="51"/>
    </row>
    <row r="6" spans="1:9">
      <c r="B6" s="252">
        <v>2</v>
      </c>
      <c r="C6" s="253" t="str">
        <f>'[10]2.Capex Details'!B20</f>
        <v>Machinery and Equipment</v>
      </c>
      <c r="D6" s="257">
        <f>+'2.Capex Details'!G86</f>
        <v>18127932.961199999</v>
      </c>
      <c r="E6" s="384">
        <v>0.6</v>
      </c>
      <c r="F6" s="259">
        <f t="shared" si="0"/>
        <v>10876759.776719999</v>
      </c>
    </row>
    <row r="7" spans="1:9">
      <c r="B7" s="252">
        <v>3</v>
      </c>
      <c r="C7" s="253" t="str">
        <f>'[10]2.Capex Details'!B87</f>
        <v>Furniture and Fixture</v>
      </c>
      <c r="D7" s="257">
        <f>+'2.Capex Details'!G104</f>
        <v>0</v>
      </c>
      <c r="E7" s="384">
        <v>0.6</v>
      </c>
      <c r="F7" s="259">
        <f t="shared" si="0"/>
        <v>0</v>
      </c>
      <c r="H7" s="51"/>
    </row>
    <row r="8" spans="1:9">
      <c r="B8" s="252">
        <v>4</v>
      </c>
      <c r="C8" s="253" t="str">
        <f>'[10]2.Capex Details'!B101</f>
        <v>IT &amp; It Infrastracture</v>
      </c>
      <c r="D8" s="257">
        <f>+'2.Capex Details'!G119</f>
        <v>0</v>
      </c>
      <c r="E8" s="384">
        <v>0.6</v>
      </c>
      <c r="F8" s="259">
        <f t="shared" si="0"/>
        <v>0</v>
      </c>
    </row>
    <row r="9" spans="1:9" ht="25.5">
      <c r="B9" s="252">
        <v>5</v>
      </c>
      <c r="C9" s="253" t="str">
        <f>'[10]2.Capex Details'!B115</f>
        <v>Transport vehical  (Refer van and other)</v>
      </c>
      <c r="D9" s="257">
        <f>+'2.Capex Details'!G134</f>
        <v>0</v>
      </c>
      <c r="E9" s="384">
        <v>0.6</v>
      </c>
      <c r="F9" s="259">
        <f t="shared" si="0"/>
        <v>0</v>
      </c>
    </row>
    <row r="10" spans="1:9">
      <c r="B10" s="252">
        <v>6</v>
      </c>
      <c r="C10" s="253" t="str">
        <f>'[10]2.Capex Details'!B127</f>
        <v>Preliminary Expenses</v>
      </c>
      <c r="D10" s="257">
        <f>+'2.Capex Details'!G145</f>
        <v>1883203</v>
      </c>
      <c r="E10" s="384">
        <v>0.6</v>
      </c>
      <c r="F10" s="259">
        <f t="shared" si="0"/>
        <v>1129921.8</v>
      </c>
    </row>
    <row r="11" spans="1:9">
      <c r="B11" s="252">
        <v>7</v>
      </c>
      <c r="C11" s="253" t="s">
        <v>157</v>
      </c>
      <c r="D11" s="257">
        <f>+'5.Closing Stock &amp; W Capital'!E56</f>
        <v>955691.00195066223</v>
      </c>
      <c r="E11" s="260"/>
      <c r="F11" s="260"/>
    </row>
    <row r="12" spans="1:9">
      <c r="B12" s="1076" t="s">
        <v>1</v>
      </c>
      <c r="C12" s="1076"/>
      <c r="D12" s="261">
        <f>SUM(D5:D11)</f>
        <v>39971326.963150658</v>
      </c>
      <c r="E12" s="260"/>
      <c r="F12" s="261">
        <f>SUM(F5:F11)</f>
        <v>23409381.576719999</v>
      </c>
      <c r="H12" s="21"/>
    </row>
    <row r="13" spans="1:9">
      <c r="D13" s="17"/>
    </row>
    <row r="14" spans="1:9" ht="25.5" customHeight="1">
      <c r="A14" s="1077" t="s">
        <v>418</v>
      </c>
      <c r="B14" s="1077"/>
      <c r="C14" s="1077"/>
      <c r="D14" s="1077"/>
      <c r="E14" s="1077"/>
      <c r="F14" s="1077"/>
      <c r="I14" s="51"/>
    </row>
    <row r="15" spans="1:9">
      <c r="I15" s="51"/>
    </row>
    <row r="16" spans="1:9" ht="18.75">
      <c r="B16" s="724" t="s">
        <v>548</v>
      </c>
      <c r="C16" s="724"/>
      <c r="D16" s="724"/>
      <c r="E16" s="724"/>
      <c r="F16" s="724"/>
    </row>
    <row r="17" spans="2:15">
      <c r="I17" s="51"/>
      <c r="K17" s="3"/>
    </row>
    <row r="18" spans="2:15">
      <c r="B18" s="250" t="s">
        <v>145</v>
      </c>
      <c r="C18" s="1098" t="s">
        <v>127</v>
      </c>
      <c r="D18" s="1099"/>
      <c r="E18" s="251" t="s">
        <v>619</v>
      </c>
      <c r="F18" s="251" t="s">
        <v>159</v>
      </c>
      <c r="J18" s="287"/>
    </row>
    <row r="19" spans="2:15">
      <c r="B19" s="252">
        <v>1</v>
      </c>
      <c r="C19" s="1100" t="s">
        <v>337</v>
      </c>
      <c r="D19" s="1101"/>
      <c r="E19" s="385"/>
      <c r="F19" s="254">
        <v>20000000</v>
      </c>
      <c r="I19" s="17"/>
      <c r="J19" s="17"/>
      <c r="K19" s="17"/>
      <c r="N19" s="17"/>
      <c r="O19" s="17"/>
    </row>
    <row r="20" spans="2:15" ht="26.1" customHeight="1">
      <c r="B20" s="252">
        <v>1</v>
      </c>
      <c r="C20" s="1100" t="s">
        <v>1976</v>
      </c>
      <c r="D20" s="1101"/>
      <c r="E20" s="284"/>
      <c r="F20" s="568">
        <f>+D12-F19-F21</f>
        <v>15114072.365079995</v>
      </c>
      <c r="G20" s="3"/>
      <c r="H20" s="3"/>
      <c r="I20" s="676"/>
      <c r="J20" s="3"/>
      <c r="O20" s="224"/>
    </row>
    <row r="21" spans="2:15">
      <c r="B21" s="252">
        <v>2</v>
      </c>
      <c r="C21" s="1100" t="s">
        <v>134</v>
      </c>
      <c r="D21" s="1101"/>
      <c r="E21" s="385">
        <v>0.1</v>
      </c>
      <c r="F21" s="254">
        <f>SUM(D5:D10)*E21+D11</f>
        <v>4857254.5980706625</v>
      </c>
      <c r="J21" s="656"/>
    </row>
    <row r="22" spans="2:15">
      <c r="B22" s="1078" t="s">
        <v>1</v>
      </c>
      <c r="C22" s="1102"/>
      <c r="D22" s="1102"/>
      <c r="E22" s="1103"/>
      <c r="F22" s="255">
        <f>SUM(F19:F21)</f>
        <v>39971326.963150665</v>
      </c>
      <c r="J22" s="17"/>
    </row>
    <row r="24" spans="2:15">
      <c r="B24" s="1073" t="s">
        <v>419</v>
      </c>
      <c r="C24" s="1073"/>
      <c r="D24" s="1073"/>
      <c r="E24" s="1073"/>
      <c r="F24" s="1073"/>
      <c r="J24" s="17"/>
    </row>
    <row r="26" spans="2:15" ht="18.75">
      <c r="B26" s="724" t="s">
        <v>549</v>
      </c>
      <c r="C26" s="724"/>
      <c r="D26" s="724"/>
      <c r="E26" s="724"/>
      <c r="F26" s="724"/>
    </row>
    <row r="27" spans="2:15">
      <c r="B27" s="262" t="s">
        <v>145</v>
      </c>
      <c r="C27" s="263" t="s">
        <v>575</v>
      </c>
      <c r="D27" s="264" t="s">
        <v>576</v>
      </c>
      <c r="E27" s="265" t="s">
        <v>577</v>
      </c>
      <c r="F27" s="1074" t="s">
        <v>578</v>
      </c>
      <c r="G27" s="1075"/>
      <c r="H27" s="657"/>
      <c r="I27" s="657"/>
      <c r="J27" s="17"/>
    </row>
    <row r="28" spans="2:15" ht="25.5">
      <c r="B28" s="266">
        <v>1</v>
      </c>
      <c r="C28" s="253" t="s">
        <v>380</v>
      </c>
      <c r="D28" s="383">
        <f>+'9. Financial indiacators'!D50</f>
        <v>0.42973211645471265</v>
      </c>
      <c r="E28" s="266" t="s">
        <v>381</v>
      </c>
      <c r="F28" s="269" t="s">
        <v>579</v>
      </c>
      <c r="G28" s="266" t="s">
        <v>1357</v>
      </c>
      <c r="H28" s="658"/>
      <c r="I28" s="658"/>
    </row>
    <row r="29" spans="2:15" ht="38.25">
      <c r="B29" s="527">
        <v>2</v>
      </c>
      <c r="C29" s="528" t="s">
        <v>382</v>
      </c>
      <c r="D29" s="681">
        <f>+'9. Financial indiacators'!D86</f>
        <v>0.17998965270897771</v>
      </c>
      <c r="E29" s="527" t="s">
        <v>381</v>
      </c>
      <c r="F29" s="529" t="s">
        <v>580</v>
      </c>
      <c r="G29" s="527" t="s">
        <v>1617</v>
      </c>
      <c r="H29" s="659"/>
      <c r="I29" s="659"/>
    </row>
    <row r="30" spans="2:15" ht="38.25">
      <c r="B30" s="266">
        <v>3</v>
      </c>
      <c r="C30" s="253" t="s">
        <v>383</v>
      </c>
      <c r="D30" s="681">
        <f>+'9. Financial indiacators'!C16</f>
        <v>0.1160983927476209</v>
      </c>
      <c r="E30" s="266" t="s">
        <v>381</v>
      </c>
      <c r="F30" s="269" t="s">
        <v>2057</v>
      </c>
      <c r="G30" s="266" t="s">
        <v>1617</v>
      </c>
      <c r="H30" s="658"/>
      <c r="I30" s="658"/>
    </row>
    <row r="31" spans="2:15" ht="63.75">
      <c r="B31" s="266">
        <v>4</v>
      </c>
      <c r="C31" s="253" t="s">
        <v>384</v>
      </c>
      <c r="D31" s="300">
        <f>+'9. Financial indiacators'!D74</f>
        <v>2495928.6203324869</v>
      </c>
      <c r="E31" s="266" t="s">
        <v>388</v>
      </c>
      <c r="F31" s="269" t="s">
        <v>582</v>
      </c>
      <c r="G31" s="266" t="s">
        <v>385</v>
      </c>
      <c r="H31" s="658"/>
      <c r="I31" s="658"/>
      <c r="J31" s="658"/>
    </row>
    <row r="32" spans="2:15" ht="51">
      <c r="B32" s="266">
        <v>5</v>
      </c>
      <c r="C32" s="253" t="s">
        <v>386</v>
      </c>
      <c r="D32" s="682">
        <f>+'9. Financial indiacators'!D102</f>
        <v>5.0743386616228197</v>
      </c>
      <c r="E32" s="266" t="s">
        <v>381</v>
      </c>
      <c r="F32" s="269" t="s">
        <v>583</v>
      </c>
      <c r="G32" s="266" t="s">
        <v>813</v>
      </c>
      <c r="H32" s="658">
        <f>12*0.07</f>
        <v>0.84000000000000008</v>
      </c>
      <c r="I32" s="658"/>
    </row>
    <row r="33" spans="2:9" ht="38.25">
      <c r="B33" s="266">
        <v>6</v>
      </c>
      <c r="C33" s="267" t="s">
        <v>387</v>
      </c>
      <c r="D33" s="682">
        <f>+'9. Financial indiacators'!D117</f>
        <v>2.7936058573409057</v>
      </c>
      <c r="E33" s="268" t="s">
        <v>381</v>
      </c>
      <c r="F33" s="269" t="s">
        <v>584</v>
      </c>
      <c r="G33" s="266" t="s">
        <v>1626</v>
      </c>
      <c r="H33" s="658"/>
      <c r="I33" s="658"/>
    </row>
  </sheetData>
  <mergeCells count="12">
    <mergeCell ref="B26:F26"/>
    <mergeCell ref="F27:G27"/>
    <mergeCell ref="B2:F2"/>
    <mergeCell ref="B12:C12"/>
    <mergeCell ref="A14:F14"/>
    <mergeCell ref="B16:F16"/>
    <mergeCell ref="B24:F24"/>
    <mergeCell ref="C18:D18"/>
    <mergeCell ref="C19:D19"/>
    <mergeCell ref="C20:D20"/>
    <mergeCell ref="C21:D21"/>
    <mergeCell ref="B22:E22"/>
  </mergeCells>
  <conditionalFormatting sqref="D23">
    <cfRule type="cellIs" dxfId="5" priority="1" operator="greaterThan">
      <formula>0</formula>
    </cfRule>
  </conditionalFormatting>
  <pageMargins left="0.7" right="0.7" top="0.75" bottom="0.75" header="0.3" footer="0.3"/>
  <pageSetup scale="8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3"/>
  <sheetViews>
    <sheetView showFormulas="1" view="pageBreakPreview" topLeftCell="C22" zoomScaleSheetLayoutView="100" workbookViewId="0">
      <selection activeCell="C33" sqref="C33"/>
    </sheetView>
  </sheetViews>
  <sheetFormatPr defaultRowHeight="15"/>
  <cols>
    <col min="2" max="2" width="7.5703125" bestFit="1" customWidth="1"/>
    <col min="3" max="3" width="26.28515625" bestFit="1" customWidth="1"/>
    <col min="4" max="4" width="15" customWidth="1"/>
    <col min="5" max="5" width="16" customWidth="1"/>
    <col min="6" max="6" width="17.85546875" customWidth="1"/>
    <col min="11" max="11" width="11.5703125" bestFit="1" customWidth="1"/>
  </cols>
  <sheetData>
    <row r="2" spans="1:13" ht="18.75">
      <c r="B2" s="724" t="s">
        <v>547</v>
      </c>
      <c r="C2" s="724"/>
      <c r="D2" s="724"/>
      <c r="E2" s="724"/>
      <c r="F2" s="724"/>
    </row>
    <row r="4" spans="1:13">
      <c r="B4" s="251" t="s">
        <v>145</v>
      </c>
      <c r="C4" s="251" t="s">
        <v>127</v>
      </c>
      <c r="D4" s="251" t="s">
        <v>159</v>
      </c>
      <c r="E4" s="256" t="s">
        <v>464</v>
      </c>
      <c r="F4" s="256" t="s">
        <v>465</v>
      </c>
    </row>
    <row r="5" spans="1:13">
      <c r="B5" s="252">
        <v>1</v>
      </c>
      <c r="C5" s="253" t="str">
        <f>'2.Capex Details'!B2</f>
        <v>Land and Building</v>
      </c>
      <c r="D5" s="257">
        <f>+'2.Capex Details'!H15</f>
        <v>19004500</v>
      </c>
      <c r="E5" s="258">
        <v>0.6</v>
      </c>
      <c r="F5" s="259">
        <f t="shared" ref="F5:F10" si="0">D5*E5</f>
        <v>11402700</v>
      </c>
    </row>
    <row r="6" spans="1:13">
      <c r="B6" s="252">
        <v>2</v>
      </c>
      <c r="C6" s="253" t="str">
        <f>'2.Capex Details'!B20</f>
        <v>Machinery and Equipment</v>
      </c>
      <c r="D6" s="257">
        <f>+'2.Capex Details'!G86</f>
        <v>18127932.961199999</v>
      </c>
      <c r="E6" s="258">
        <v>0.6</v>
      </c>
      <c r="F6" s="259">
        <f t="shared" si="0"/>
        <v>10876759.776719999</v>
      </c>
    </row>
    <row r="7" spans="1:13">
      <c r="B7" s="252">
        <v>3</v>
      </c>
      <c r="C7" s="253" t="str">
        <f>'2.Capex Details'!B92</f>
        <v>Furniture and Fixture</v>
      </c>
      <c r="D7" s="257">
        <f>+'2.Capex Details'!G104</f>
        <v>0</v>
      </c>
      <c r="E7" s="258">
        <v>0.6</v>
      </c>
      <c r="F7" s="259">
        <f t="shared" si="0"/>
        <v>0</v>
      </c>
    </row>
    <row r="8" spans="1:13">
      <c r="B8" s="252">
        <v>4</v>
      </c>
      <c r="C8" s="253" t="str">
        <f>'2.Capex Details'!B109</f>
        <v>IT &amp; It Infrastracture</v>
      </c>
      <c r="D8" s="257">
        <f>+'2.Capex Details'!G119</f>
        <v>0</v>
      </c>
      <c r="E8" s="258">
        <v>0.6</v>
      </c>
      <c r="F8" s="259">
        <f t="shared" si="0"/>
        <v>0</v>
      </c>
    </row>
    <row r="9" spans="1:13" ht="25.5">
      <c r="B9" s="252">
        <v>5</v>
      </c>
      <c r="C9" s="253" t="str">
        <f>'2.Capex Details'!B124</f>
        <v>Transport vehical  (Refer van and other)</v>
      </c>
      <c r="D9" s="257">
        <f>+'2.Capex Details'!G134</f>
        <v>0</v>
      </c>
      <c r="E9" s="258">
        <v>0.6</v>
      </c>
      <c r="F9" s="259">
        <f t="shared" si="0"/>
        <v>0</v>
      </c>
    </row>
    <row r="10" spans="1:13">
      <c r="B10" s="252">
        <v>6</v>
      </c>
      <c r="C10" s="253" t="str">
        <f>'2.Capex Details'!B138</f>
        <v>Preliminary Expenses</v>
      </c>
      <c r="D10" s="257">
        <f>+'2.Capex Details'!G145</f>
        <v>1883203</v>
      </c>
      <c r="E10" s="258">
        <v>0.6</v>
      </c>
      <c r="F10" s="259">
        <f t="shared" si="0"/>
        <v>1129921.8</v>
      </c>
      <c r="L10" t="s">
        <v>417</v>
      </c>
    </row>
    <row r="11" spans="1:13">
      <c r="B11" s="252">
        <v>7</v>
      </c>
      <c r="C11" s="253" t="s">
        <v>157</v>
      </c>
      <c r="D11" s="257">
        <f>+'5.Closing Stock &amp; W Capital'!E56</f>
        <v>955691.00195066223</v>
      </c>
      <c r="E11" s="260"/>
      <c r="F11" s="260"/>
    </row>
    <row r="12" spans="1:13">
      <c r="B12" s="1076" t="s">
        <v>1</v>
      </c>
      <c r="C12" s="1076"/>
      <c r="D12" s="261">
        <f>SUM(D5:D11)</f>
        <v>39971326.963150658</v>
      </c>
      <c r="E12" s="260"/>
      <c r="F12" s="261">
        <f>SUM(F5:F11)</f>
        <v>23409381.576719999</v>
      </c>
    </row>
    <row r="13" spans="1:13">
      <c r="D13" s="17"/>
      <c r="M13">
        <v>48</v>
      </c>
    </row>
    <row r="14" spans="1:13" ht="25.5" customHeight="1">
      <c r="A14" s="1077" t="s">
        <v>418</v>
      </c>
      <c r="B14" s="1077"/>
      <c r="C14" s="1077"/>
      <c r="D14" s="1077"/>
      <c r="E14" s="1077"/>
      <c r="F14" s="1077"/>
      <c r="M14">
        <v>11.64</v>
      </c>
    </row>
    <row r="15" spans="1:13">
      <c r="M15">
        <f>M13+M14</f>
        <v>59.64</v>
      </c>
    </row>
    <row r="16" spans="1:13" ht="18.75">
      <c r="B16" s="724" t="s">
        <v>548</v>
      </c>
      <c r="C16" s="724"/>
      <c r="D16" s="724"/>
      <c r="E16" s="724"/>
      <c r="F16" s="724"/>
      <c r="J16">
        <v>780000</v>
      </c>
      <c r="M16">
        <v>19.05</v>
      </c>
    </row>
    <row r="17" spans="2:13">
      <c r="J17">
        <f>+J16/60</f>
        <v>13000</v>
      </c>
      <c r="M17">
        <f>M15+M16</f>
        <v>78.69</v>
      </c>
    </row>
    <row r="18" spans="2:13">
      <c r="B18" s="250" t="s">
        <v>145</v>
      </c>
      <c r="C18" s="1098" t="s">
        <v>127</v>
      </c>
      <c r="D18" s="1099"/>
      <c r="E18" s="251" t="s">
        <v>619</v>
      </c>
      <c r="F18" s="251" t="s">
        <v>159</v>
      </c>
      <c r="J18">
        <f>+J17*100</f>
        <v>1300000</v>
      </c>
    </row>
    <row r="19" spans="2:13" ht="25.5" customHeight="1">
      <c r="B19" s="252">
        <v>1</v>
      </c>
      <c r="C19" s="1100" t="s">
        <v>337</v>
      </c>
      <c r="D19" s="1101"/>
      <c r="E19" s="284"/>
      <c r="F19" s="254">
        <f>F12</f>
        <v>23409381.576719999</v>
      </c>
    </row>
    <row r="20" spans="2:13">
      <c r="B20" s="252">
        <v>2</v>
      </c>
      <c r="C20" s="1100" t="s">
        <v>158</v>
      </c>
      <c r="D20" s="1101"/>
      <c r="E20" s="279">
        <v>0.3</v>
      </c>
      <c r="F20" s="254">
        <f>SUM(D5:D9)*E20</f>
        <v>11139729.888359999</v>
      </c>
      <c r="J20">
        <v>375000</v>
      </c>
    </row>
    <row r="21" spans="2:13">
      <c r="B21" s="252">
        <v>3</v>
      </c>
      <c r="C21" s="1100" t="s">
        <v>134</v>
      </c>
      <c r="D21" s="1101"/>
      <c r="E21" s="254"/>
      <c r="F21" s="254">
        <f>D12-F19-F20</f>
        <v>5422215.4980706591</v>
      </c>
      <c r="J21">
        <f>+J20/60</f>
        <v>6250</v>
      </c>
    </row>
    <row r="22" spans="2:13">
      <c r="B22" s="1076" t="s">
        <v>1</v>
      </c>
      <c r="C22" s="1076"/>
      <c r="D22" s="306"/>
      <c r="E22" s="255"/>
      <c r="F22" s="255">
        <f>SUM(F19:F21)</f>
        <v>39971326.963150658</v>
      </c>
      <c r="H22">
        <f>+F22*0.25%</f>
        <v>99928.317407876646</v>
      </c>
      <c r="J22">
        <f>+J21*100</f>
        <v>625000</v>
      </c>
    </row>
    <row r="24" spans="2:13">
      <c r="B24" s="1073" t="s">
        <v>419</v>
      </c>
      <c r="C24" s="1073"/>
      <c r="D24" s="1073"/>
      <c r="E24" s="1073"/>
      <c r="F24" s="1073"/>
      <c r="K24" s="17">
        <f>+F22-J18</f>
        <v>38671326.963150658</v>
      </c>
    </row>
    <row r="26" spans="2:13" ht="18.75">
      <c r="B26" s="724" t="s">
        <v>549</v>
      </c>
      <c r="C26" s="724"/>
      <c r="D26" s="724"/>
      <c r="E26" s="724"/>
      <c r="F26" s="724"/>
    </row>
    <row r="27" spans="2:13">
      <c r="B27" s="262" t="s">
        <v>145</v>
      </c>
      <c r="C27" s="263" t="s">
        <v>575</v>
      </c>
      <c r="D27" s="264" t="s">
        <v>576</v>
      </c>
      <c r="E27" s="265" t="s">
        <v>577</v>
      </c>
      <c r="F27" s="1074" t="s">
        <v>578</v>
      </c>
      <c r="G27" s="1075"/>
    </row>
    <row r="28" spans="2:13" ht="25.5">
      <c r="B28" s="266">
        <v>1</v>
      </c>
      <c r="C28" s="253" t="s">
        <v>380</v>
      </c>
      <c r="D28" s="383">
        <f>+'9. Financial indiacators'!D50</f>
        <v>0.42973211645471265</v>
      </c>
      <c r="E28" s="266" t="s">
        <v>381</v>
      </c>
      <c r="F28" s="269" t="s">
        <v>579</v>
      </c>
      <c r="G28" s="266" t="s">
        <v>811</v>
      </c>
    </row>
    <row r="29" spans="2:13" ht="38.25">
      <c r="B29" s="266">
        <v>2</v>
      </c>
      <c r="C29" s="253" t="s">
        <v>382</v>
      </c>
      <c r="D29" s="301">
        <f>'9. Financial indiacators'!D86</f>
        <v>0.17998965270897771</v>
      </c>
      <c r="E29" s="266" t="s">
        <v>381</v>
      </c>
      <c r="F29" s="269" t="s">
        <v>580</v>
      </c>
      <c r="G29" s="266" t="s">
        <v>814</v>
      </c>
    </row>
    <row r="30" spans="2:13" ht="38.25">
      <c r="B30" s="266">
        <v>3</v>
      </c>
      <c r="C30" s="253" t="s">
        <v>383</v>
      </c>
      <c r="D30" s="302">
        <f>'9. Financial indiacators'!C16</f>
        <v>0.1160983927476209</v>
      </c>
      <c r="E30" s="266" t="s">
        <v>381</v>
      </c>
      <c r="F30" s="269" t="s">
        <v>581</v>
      </c>
      <c r="G30" s="266" t="s">
        <v>812</v>
      </c>
    </row>
    <row r="31" spans="2:13" ht="63.75">
      <c r="B31" s="266">
        <v>4</v>
      </c>
      <c r="C31" s="253" t="s">
        <v>384</v>
      </c>
      <c r="D31" s="300">
        <f>'9. Financial indiacators'!D74</f>
        <v>2495928.6203324869</v>
      </c>
      <c r="E31" s="266" t="s">
        <v>388</v>
      </c>
      <c r="F31" s="269" t="s">
        <v>582</v>
      </c>
      <c r="G31" s="266" t="s">
        <v>385</v>
      </c>
    </row>
    <row r="32" spans="2:13" ht="51">
      <c r="B32" s="266">
        <v>5</v>
      </c>
      <c r="C32" s="253" t="s">
        <v>386</v>
      </c>
      <c r="D32" s="303">
        <f>'9. Financial indiacators'!D102</f>
        <v>5.0743386616228197</v>
      </c>
      <c r="E32" s="266" t="s">
        <v>381</v>
      </c>
      <c r="F32" s="269" t="s">
        <v>583</v>
      </c>
      <c r="G32" s="266" t="s">
        <v>813</v>
      </c>
    </row>
    <row r="33" spans="2:7" ht="38.25">
      <c r="B33" s="266">
        <v>6</v>
      </c>
      <c r="C33" s="267" t="s">
        <v>387</v>
      </c>
      <c r="D33" s="303">
        <f>'9. Financial indiacators'!D117</f>
        <v>2.7936058573409057</v>
      </c>
      <c r="E33" s="268" t="s">
        <v>381</v>
      </c>
      <c r="F33" s="269" t="s">
        <v>584</v>
      </c>
      <c r="G33" s="267" t="s">
        <v>389</v>
      </c>
    </row>
  </sheetData>
  <mergeCells count="12">
    <mergeCell ref="F27:G27"/>
    <mergeCell ref="B26:F26"/>
    <mergeCell ref="B12:C12"/>
    <mergeCell ref="B22:C22"/>
    <mergeCell ref="B2:F2"/>
    <mergeCell ref="B16:F16"/>
    <mergeCell ref="B24:F24"/>
    <mergeCell ref="A14:F14"/>
    <mergeCell ref="C18:D18"/>
    <mergeCell ref="C19:D19"/>
    <mergeCell ref="C20:D20"/>
    <mergeCell ref="C21:D21"/>
  </mergeCells>
  <conditionalFormatting sqref="D23">
    <cfRule type="cellIs" dxfId="4" priority="1" operator="greaterThan">
      <formula>0</formula>
    </cfRule>
  </conditionalFormatting>
  <pageMargins left="0.7" right="0.7" top="0.75" bottom="0.75" header="0.3" footer="0.3"/>
  <pageSetup scale="8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47"/>
  <sheetViews>
    <sheetView showGridLines="0" view="pageBreakPreview" zoomScale="80" zoomScaleSheetLayoutView="80" workbookViewId="0">
      <selection activeCell="G46" sqref="G46"/>
    </sheetView>
  </sheetViews>
  <sheetFormatPr defaultRowHeight="15"/>
  <cols>
    <col min="1" max="1" width="4.7109375" customWidth="1"/>
    <col min="2" max="2" width="7.5703125" bestFit="1" customWidth="1"/>
    <col min="3" max="3" width="41.5703125" customWidth="1"/>
    <col min="4" max="4" width="8.85546875" customWidth="1"/>
    <col min="5" max="5" width="11.85546875" customWidth="1"/>
    <col min="6" max="7" width="13.42578125" customWidth="1"/>
    <col min="8" max="8" width="12.42578125" bestFit="1" customWidth="1"/>
    <col min="9" max="9" width="12" customWidth="1"/>
    <col min="10" max="11" width="11.140625" bestFit="1" customWidth="1"/>
    <col min="12" max="12" width="33.140625" customWidth="1"/>
    <col min="13" max="13" width="12.28515625" bestFit="1" customWidth="1"/>
    <col min="14" max="14" width="10.85546875" bestFit="1" customWidth="1"/>
    <col min="15" max="15" width="11.28515625" bestFit="1" customWidth="1"/>
  </cols>
  <sheetData>
    <row r="2" spans="1:17" ht="18.75">
      <c r="A2">
        <v>2.1</v>
      </c>
      <c r="B2" s="724" t="s">
        <v>155</v>
      </c>
      <c r="C2" s="724"/>
      <c r="D2" s="724"/>
      <c r="E2" s="724"/>
      <c r="F2" s="724"/>
      <c r="G2" s="724"/>
    </row>
    <row r="4" spans="1:17" ht="28.5">
      <c r="B4" s="174" t="s">
        <v>145</v>
      </c>
      <c r="C4" s="1108" t="s">
        <v>127</v>
      </c>
      <c r="D4" s="1109"/>
      <c r="E4" s="174" t="s">
        <v>132</v>
      </c>
      <c r="F4" s="174" t="s">
        <v>146</v>
      </c>
      <c r="G4" s="174" t="s">
        <v>147</v>
      </c>
      <c r="H4" s="174" t="s">
        <v>159</v>
      </c>
      <c r="I4" s="571"/>
    </row>
    <row r="5" spans="1:17">
      <c r="B5" s="386">
        <v>1</v>
      </c>
      <c r="C5" s="1110" t="s">
        <v>148</v>
      </c>
      <c r="D5" s="1111"/>
      <c r="E5" s="386" t="s">
        <v>149</v>
      </c>
      <c r="F5" s="270" t="s">
        <v>662</v>
      </c>
      <c r="G5" s="271" t="s">
        <v>662</v>
      </c>
      <c r="H5" s="272" t="s">
        <v>150</v>
      </c>
      <c r="I5" s="572"/>
    </row>
    <row r="6" spans="1:17">
      <c r="B6" s="386">
        <v>2</v>
      </c>
      <c r="C6" s="1110" t="s">
        <v>2025</v>
      </c>
      <c r="D6" s="1111"/>
      <c r="E6" s="386" t="s">
        <v>2026</v>
      </c>
      <c r="F6" s="387">
        <f>30*15</f>
        <v>450</v>
      </c>
      <c r="G6" s="388">
        <f>+H6/F6</f>
        <v>14198.222222222223</v>
      </c>
      <c r="H6" s="389">
        <v>6389200</v>
      </c>
      <c r="I6" s="573" t="s">
        <v>2028</v>
      </c>
      <c r="M6" s="51"/>
    </row>
    <row r="7" spans="1:17">
      <c r="B7" s="386">
        <v>3</v>
      </c>
      <c r="C7" s="1110" t="s">
        <v>2058</v>
      </c>
      <c r="D7" s="1111"/>
      <c r="E7" s="386" t="s">
        <v>2026</v>
      </c>
      <c r="F7" s="387">
        <v>685.77</v>
      </c>
      <c r="G7" s="388">
        <f>+H7/F7</f>
        <v>18395.817839800518</v>
      </c>
      <c r="H7" s="389">
        <v>12615300</v>
      </c>
      <c r="I7" s="573"/>
      <c r="M7" s="51"/>
    </row>
    <row r="8" spans="1:17" hidden="1">
      <c r="B8" s="386">
        <v>5</v>
      </c>
      <c r="C8" s="397" t="s">
        <v>713</v>
      </c>
      <c r="D8" s="398"/>
      <c r="E8" s="386" t="s">
        <v>149</v>
      </c>
      <c r="F8" s="387">
        <v>1500</v>
      </c>
      <c r="G8" s="388">
        <v>1500</v>
      </c>
      <c r="H8" s="389">
        <v>0</v>
      </c>
      <c r="I8" s="573"/>
      <c r="M8" s="51"/>
    </row>
    <row r="9" spans="1:17" hidden="1">
      <c r="B9" s="386">
        <v>6</v>
      </c>
      <c r="C9" s="397" t="s">
        <v>663</v>
      </c>
      <c r="D9" s="398"/>
      <c r="E9" s="386" t="s">
        <v>149</v>
      </c>
      <c r="F9" s="387">
        <v>400</v>
      </c>
      <c r="G9" s="388">
        <v>425</v>
      </c>
      <c r="H9" s="389">
        <v>0</v>
      </c>
      <c r="I9" s="573"/>
      <c r="M9" s="51"/>
    </row>
    <row r="10" spans="1:17" hidden="1">
      <c r="B10" s="386">
        <v>7</v>
      </c>
      <c r="C10" s="397" t="s">
        <v>664</v>
      </c>
      <c r="D10" s="398"/>
      <c r="E10" s="386" t="s">
        <v>149</v>
      </c>
      <c r="F10" s="387">
        <v>400</v>
      </c>
      <c r="G10" s="388">
        <v>425</v>
      </c>
      <c r="H10" s="389">
        <v>0</v>
      </c>
      <c r="I10" s="573"/>
      <c r="P10">
        <f>30*50</f>
        <v>1500</v>
      </c>
      <c r="Q10">
        <f>+P10*850</f>
        <v>1275000</v>
      </c>
    </row>
    <row r="11" spans="1:17" hidden="1">
      <c r="B11" s="386">
        <v>8</v>
      </c>
      <c r="C11" s="397" t="s">
        <v>665</v>
      </c>
      <c r="D11" s="398"/>
      <c r="E11" s="386" t="s">
        <v>149</v>
      </c>
      <c r="F11" s="387">
        <v>400</v>
      </c>
      <c r="G11" s="388">
        <v>425</v>
      </c>
      <c r="H11" s="389">
        <v>0</v>
      </c>
      <c r="I11" s="573"/>
    </row>
    <row r="12" spans="1:17" hidden="1">
      <c r="B12" s="386">
        <v>9</v>
      </c>
      <c r="C12" s="397" t="s">
        <v>666</v>
      </c>
      <c r="D12" s="398"/>
      <c r="E12" s="386" t="s">
        <v>149</v>
      </c>
      <c r="F12" s="387">
        <v>400</v>
      </c>
      <c r="G12" s="388">
        <v>425</v>
      </c>
      <c r="H12" s="389">
        <v>0</v>
      </c>
      <c r="I12" s="573"/>
    </row>
    <row r="13" spans="1:17" hidden="1">
      <c r="B13" s="386">
        <v>10</v>
      </c>
      <c r="C13" s="397" t="s">
        <v>667</v>
      </c>
      <c r="D13" s="398"/>
      <c r="E13" s="386" t="s">
        <v>149</v>
      </c>
      <c r="F13" s="387">
        <v>400</v>
      </c>
      <c r="G13" s="388">
        <v>425</v>
      </c>
      <c r="H13" s="389">
        <v>0</v>
      </c>
      <c r="I13" s="573"/>
    </row>
    <row r="14" spans="1:17" hidden="1">
      <c r="B14" s="386">
        <v>5</v>
      </c>
      <c r="C14" s="397" t="s">
        <v>1745</v>
      </c>
      <c r="D14" s="398"/>
      <c r="E14" s="386"/>
      <c r="F14" s="387"/>
      <c r="G14" s="388"/>
      <c r="H14" s="389">
        <v>1550620</v>
      </c>
      <c r="I14" s="573"/>
    </row>
    <row r="15" spans="1:17">
      <c r="B15" s="1105" t="s">
        <v>1</v>
      </c>
      <c r="C15" s="1106"/>
      <c r="D15" s="1107"/>
      <c r="E15" s="396"/>
      <c r="F15" s="396"/>
      <c r="G15" s="396"/>
      <c r="H15" s="390">
        <f>SUM(H6:H7)</f>
        <v>19004500</v>
      </c>
      <c r="I15" s="574"/>
      <c r="N15" s="17"/>
    </row>
    <row r="16" spans="1:17">
      <c r="I16" s="51"/>
    </row>
    <row r="17" spans="1:16">
      <c r="P17">
        <f>15*20</f>
        <v>300</v>
      </c>
    </row>
    <row r="18" spans="1:16">
      <c r="B18" s="1073" t="s">
        <v>413</v>
      </c>
      <c r="C18" s="1073"/>
      <c r="D18" s="1073"/>
      <c r="E18" s="1073"/>
      <c r="F18" s="1073"/>
      <c r="G18" s="1073"/>
    </row>
    <row r="20" spans="1:16" ht="18.75">
      <c r="A20">
        <v>2.2000000000000002</v>
      </c>
      <c r="B20" s="724" t="s">
        <v>156</v>
      </c>
      <c r="C20" s="724"/>
      <c r="D20" s="724"/>
      <c r="E20" s="724"/>
      <c r="F20" s="724"/>
      <c r="G20" s="724"/>
      <c r="H20" s="724"/>
      <c r="I20" s="405"/>
    </row>
    <row r="21" spans="1:16">
      <c r="B21" s="12"/>
    </row>
    <row r="22" spans="1:16" ht="28.5">
      <c r="B22" s="174" t="s">
        <v>145</v>
      </c>
      <c r="C22" s="174" t="s">
        <v>151</v>
      </c>
      <c r="D22" s="174" t="s">
        <v>162</v>
      </c>
      <c r="E22" s="174" t="s">
        <v>152</v>
      </c>
      <c r="F22" s="174" t="s">
        <v>153</v>
      </c>
      <c r="G22" s="174" t="s">
        <v>159</v>
      </c>
      <c r="H22" s="174" t="s">
        <v>154</v>
      </c>
      <c r="I22" s="571"/>
    </row>
    <row r="23" spans="1:16">
      <c r="B23" s="200"/>
      <c r="C23" s="69"/>
      <c r="D23" s="69"/>
      <c r="E23" s="69"/>
      <c r="F23" s="69"/>
      <c r="G23" s="391"/>
      <c r="H23" s="69"/>
      <c r="I23" s="68"/>
    </row>
    <row r="24" spans="1:16">
      <c r="B24" s="180" t="s">
        <v>174</v>
      </c>
      <c r="C24" s="181" t="s">
        <v>295</v>
      </c>
      <c r="D24" s="200" t="s">
        <v>2059</v>
      </c>
      <c r="E24" s="200"/>
      <c r="F24" s="391"/>
      <c r="G24" s="391"/>
      <c r="H24" s="69"/>
      <c r="I24" s="68"/>
      <c r="N24" s="3"/>
    </row>
    <row r="25" spans="1:16">
      <c r="B25" s="200">
        <v>1</v>
      </c>
      <c r="C25" s="9" t="s">
        <v>2072</v>
      </c>
      <c r="D25" s="200"/>
      <c r="E25" s="200">
        <v>1</v>
      </c>
      <c r="F25" s="391">
        <v>490000</v>
      </c>
      <c r="G25" s="391">
        <f t="shared" ref="G25:G44" si="0">E25*F25</f>
        <v>490000</v>
      </c>
      <c r="H25" s="69">
        <v>8</v>
      </c>
      <c r="I25" s="68"/>
      <c r="N25" s="3"/>
    </row>
    <row r="26" spans="1:16">
      <c r="B26" s="200">
        <v>2</v>
      </c>
      <c r="C26" s="9" t="s">
        <v>2073</v>
      </c>
      <c r="D26" s="183"/>
      <c r="E26" s="200">
        <v>1</v>
      </c>
      <c r="F26" s="391">
        <v>670000</v>
      </c>
      <c r="G26" s="391">
        <f t="shared" si="0"/>
        <v>670000</v>
      </c>
      <c r="H26" s="69">
        <v>8.5</v>
      </c>
      <c r="I26" s="68"/>
    </row>
    <row r="27" spans="1:16">
      <c r="B27" s="200">
        <v>3</v>
      </c>
      <c r="C27" s="9" t="s">
        <v>2074</v>
      </c>
      <c r="D27" s="183"/>
      <c r="E27" s="200">
        <v>1</v>
      </c>
      <c r="F27" s="391">
        <v>390000</v>
      </c>
      <c r="G27" s="391">
        <f t="shared" si="0"/>
        <v>390000</v>
      </c>
      <c r="H27" s="69">
        <v>2</v>
      </c>
      <c r="I27" s="68"/>
    </row>
    <row r="28" spans="1:16" ht="31.5" customHeight="1">
      <c r="B28" s="200">
        <v>4</v>
      </c>
      <c r="C28" s="9" t="s">
        <v>2075</v>
      </c>
      <c r="D28" s="183"/>
      <c r="E28" s="200">
        <v>15</v>
      </c>
      <c r="F28" s="391">
        <f>920000/15</f>
        <v>61333.333333333336</v>
      </c>
      <c r="G28" s="391">
        <f>E28*F28</f>
        <v>920000</v>
      </c>
      <c r="H28" s="69">
        <v>15</v>
      </c>
      <c r="I28" s="68"/>
    </row>
    <row r="29" spans="1:16">
      <c r="B29" s="200">
        <v>5</v>
      </c>
      <c r="C29" s="9" t="s">
        <v>2076</v>
      </c>
      <c r="D29" s="200" t="s">
        <v>662</v>
      </c>
      <c r="E29" s="200">
        <v>9</v>
      </c>
      <c r="F29" s="391">
        <f>850000/9</f>
        <v>94444.444444444438</v>
      </c>
      <c r="G29" s="391">
        <f t="shared" si="0"/>
        <v>850000</v>
      </c>
      <c r="H29" s="69"/>
      <c r="I29" s="68"/>
      <c r="N29" t="e">
        <f>+#REF!*25/100</f>
        <v>#REF!</v>
      </c>
    </row>
    <row r="30" spans="1:16">
      <c r="B30" s="200">
        <v>6</v>
      </c>
      <c r="C30" s="9" t="s">
        <v>2077</v>
      </c>
      <c r="D30" s="200"/>
      <c r="E30" s="200">
        <v>2</v>
      </c>
      <c r="F30" s="391">
        <v>225000</v>
      </c>
      <c r="G30" s="391">
        <f t="shared" si="0"/>
        <v>450000</v>
      </c>
      <c r="H30" s="69">
        <v>4</v>
      </c>
      <c r="I30" s="68"/>
    </row>
    <row r="31" spans="1:16">
      <c r="B31" s="200">
        <v>7</v>
      </c>
      <c r="C31" s="9" t="s">
        <v>2078</v>
      </c>
      <c r="D31" s="200"/>
      <c r="E31" s="200">
        <v>5</v>
      </c>
      <c r="F31" s="391">
        <f>580000/5</f>
        <v>116000</v>
      </c>
      <c r="G31" s="391">
        <f t="shared" si="0"/>
        <v>580000</v>
      </c>
      <c r="H31" s="69">
        <v>8</v>
      </c>
      <c r="I31" s="68"/>
    </row>
    <row r="32" spans="1:16">
      <c r="B32" s="200">
        <v>8</v>
      </c>
      <c r="C32" s="9" t="s">
        <v>2079</v>
      </c>
      <c r="D32" s="200"/>
      <c r="E32" s="200">
        <v>2</v>
      </c>
      <c r="F32" s="391">
        <v>230000</v>
      </c>
      <c r="G32" s="391">
        <f t="shared" si="0"/>
        <v>460000</v>
      </c>
      <c r="H32" s="69">
        <v>5</v>
      </c>
      <c r="I32" s="68"/>
    </row>
    <row r="33" spans="2:12">
      <c r="B33" s="200">
        <v>9</v>
      </c>
      <c r="C33" s="9" t="s">
        <v>2080</v>
      </c>
      <c r="D33" s="200"/>
      <c r="E33" s="200">
        <v>1</v>
      </c>
      <c r="F33" s="391">
        <v>35000</v>
      </c>
      <c r="G33" s="391">
        <f t="shared" si="0"/>
        <v>35000</v>
      </c>
      <c r="H33" s="69">
        <v>2</v>
      </c>
      <c r="I33" s="68"/>
    </row>
    <row r="34" spans="2:12">
      <c r="B34" s="200">
        <v>10</v>
      </c>
      <c r="C34" s="9" t="s">
        <v>2081</v>
      </c>
      <c r="D34" s="200"/>
      <c r="E34" s="200">
        <v>8</v>
      </c>
      <c r="F34" s="391">
        <f>400000/8</f>
        <v>50000</v>
      </c>
      <c r="G34" s="391">
        <f t="shared" si="0"/>
        <v>400000</v>
      </c>
      <c r="H34" s="69">
        <v>8</v>
      </c>
      <c r="I34" s="68"/>
    </row>
    <row r="35" spans="2:12">
      <c r="B35" s="200">
        <v>11</v>
      </c>
      <c r="C35" s="9" t="s">
        <v>2082</v>
      </c>
      <c r="D35" s="200"/>
      <c r="E35" s="200">
        <v>3</v>
      </c>
      <c r="F35" s="391">
        <f>795000/3</f>
        <v>265000</v>
      </c>
      <c r="G35" s="391">
        <f t="shared" si="0"/>
        <v>795000</v>
      </c>
      <c r="H35" s="69">
        <v>5</v>
      </c>
      <c r="I35" s="68"/>
    </row>
    <row r="36" spans="2:12">
      <c r="B36" s="200">
        <v>12</v>
      </c>
      <c r="C36" s="9" t="s">
        <v>2083</v>
      </c>
      <c r="D36" s="200"/>
      <c r="E36" s="200">
        <v>1</v>
      </c>
      <c r="F36" s="391">
        <v>425000</v>
      </c>
      <c r="G36" s="391">
        <f t="shared" si="0"/>
        <v>425000</v>
      </c>
      <c r="H36" s="69"/>
      <c r="I36" s="68"/>
    </row>
    <row r="37" spans="2:12">
      <c r="B37" s="200">
        <v>13</v>
      </c>
      <c r="C37" s="9" t="s">
        <v>2084</v>
      </c>
      <c r="D37" s="200" t="s">
        <v>2092</v>
      </c>
      <c r="E37" s="200">
        <v>1</v>
      </c>
      <c r="F37" s="391">
        <v>560000</v>
      </c>
      <c r="G37" s="391">
        <f t="shared" si="0"/>
        <v>560000</v>
      </c>
      <c r="H37" s="69">
        <v>25</v>
      </c>
      <c r="I37" s="68"/>
    </row>
    <row r="38" spans="2:12">
      <c r="B38" s="200">
        <v>14</v>
      </c>
      <c r="C38" s="9" t="s">
        <v>2085</v>
      </c>
      <c r="D38" s="200"/>
      <c r="E38" s="200">
        <v>3</v>
      </c>
      <c r="F38" s="391">
        <f>930000/3</f>
        <v>310000</v>
      </c>
      <c r="G38" s="391">
        <f>E38*F38</f>
        <v>930000</v>
      </c>
      <c r="H38" s="69">
        <v>3</v>
      </c>
      <c r="I38" s="68"/>
    </row>
    <row r="39" spans="2:12">
      <c r="B39" s="200">
        <v>15</v>
      </c>
      <c r="C39" s="9" t="s">
        <v>2086</v>
      </c>
      <c r="D39" s="200"/>
      <c r="E39" s="200">
        <v>1</v>
      </c>
      <c r="F39" s="391">
        <v>75000</v>
      </c>
      <c r="G39" s="391">
        <f t="shared" si="0"/>
        <v>75000</v>
      </c>
      <c r="H39" s="69">
        <v>1</v>
      </c>
      <c r="I39" s="68"/>
    </row>
    <row r="40" spans="2:12">
      <c r="B40" s="200">
        <v>16</v>
      </c>
      <c r="C40" s="9" t="s">
        <v>2087</v>
      </c>
      <c r="D40" s="200"/>
      <c r="E40" s="200">
        <v>1</v>
      </c>
      <c r="F40" s="391">
        <v>3275000</v>
      </c>
      <c r="G40" s="391">
        <f t="shared" si="0"/>
        <v>3275000</v>
      </c>
      <c r="H40" s="69">
        <v>10</v>
      </c>
      <c r="I40" s="68"/>
    </row>
    <row r="41" spans="2:12">
      <c r="B41" s="200">
        <v>17</v>
      </c>
      <c r="C41" s="9" t="s">
        <v>2088</v>
      </c>
      <c r="D41" s="200"/>
      <c r="E41" s="200">
        <v>1</v>
      </c>
      <c r="F41" s="391">
        <v>860000</v>
      </c>
      <c r="G41" s="391">
        <f t="shared" si="0"/>
        <v>860000</v>
      </c>
      <c r="H41" s="69">
        <v>10</v>
      </c>
      <c r="I41" s="68"/>
    </row>
    <row r="42" spans="2:12">
      <c r="B42" s="200">
        <v>18</v>
      </c>
      <c r="C42" s="9" t="s">
        <v>2089</v>
      </c>
      <c r="D42" s="200"/>
      <c r="E42" s="200">
        <v>1</v>
      </c>
      <c r="F42" s="391">
        <v>850000</v>
      </c>
      <c r="G42" s="391">
        <f t="shared" si="0"/>
        <v>850000</v>
      </c>
      <c r="H42" s="69"/>
      <c r="I42" s="68"/>
    </row>
    <row r="43" spans="2:12">
      <c r="B43" s="200">
        <v>19</v>
      </c>
      <c r="C43" s="9" t="s">
        <v>2090</v>
      </c>
      <c r="D43" s="200"/>
      <c r="E43" s="200">
        <v>1</v>
      </c>
      <c r="F43" s="391">
        <v>360000</v>
      </c>
      <c r="G43" s="391">
        <f t="shared" si="0"/>
        <v>360000</v>
      </c>
      <c r="H43" s="69"/>
      <c r="I43" s="68"/>
    </row>
    <row r="44" spans="2:12">
      <c r="B44" s="200">
        <v>20</v>
      </c>
      <c r="C44" s="9" t="s">
        <v>2091</v>
      </c>
      <c r="D44" s="200"/>
      <c r="E44" s="200">
        <v>1</v>
      </c>
      <c r="F44" s="391">
        <v>240000</v>
      </c>
      <c r="G44" s="391">
        <f t="shared" si="0"/>
        <v>240000</v>
      </c>
      <c r="H44" s="69"/>
      <c r="I44" s="68"/>
    </row>
    <row r="45" spans="2:12">
      <c r="B45" s="200">
        <v>30</v>
      </c>
      <c r="C45" s="9" t="s">
        <v>2056</v>
      </c>
      <c r="D45" s="200"/>
      <c r="E45" s="200"/>
      <c r="F45" s="391"/>
      <c r="G45" s="391">
        <f>SUM(G25:G44)*18%</f>
        <v>2450700</v>
      </c>
      <c r="H45" s="69"/>
      <c r="I45" s="68"/>
    </row>
    <row r="46" spans="2:12" ht="16.5" customHeight="1">
      <c r="B46" s="1104" t="s">
        <v>172</v>
      </c>
      <c r="C46" s="1104"/>
      <c r="D46" s="200"/>
      <c r="E46" s="200"/>
      <c r="F46" s="391"/>
      <c r="G46" s="185">
        <f>SUM(G25:G45)</f>
        <v>16065700</v>
      </c>
      <c r="H46" s="185">
        <f>SUM(H25:H45)</f>
        <v>114.5</v>
      </c>
      <c r="I46" s="68" t="s">
        <v>2028</v>
      </c>
    </row>
    <row r="47" spans="2:12" ht="24" customHeight="1">
      <c r="B47" s="180" t="s">
        <v>175</v>
      </c>
      <c r="C47" s="181" t="s">
        <v>2027</v>
      </c>
      <c r="D47" s="200"/>
      <c r="E47" s="200"/>
      <c r="F47" s="391"/>
      <c r="G47" s="391"/>
      <c r="H47" s="69"/>
      <c r="I47" s="68"/>
      <c r="L47" s="17"/>
    </row>
    <row r="48" spans="2:12">
      <c r="B48" s="200">
        <v>1</v>
      </c>
      <c r="C48" s="645" t="s">
        <v>2063</v>
      </c>
      <c r="D48" s="200"/>
      <c r="E48" s="200">
        <v>1</v>
      </c>
      <c r="F48" s="391">
        <v>945000</v>
      </c>
      <c r="G48" s="391">
        <f>F48</f>
        <v>945000</v>
      </c>
      <c r="H48" s="69"/>
      <c r="I48" s="68"/>
      <c r="L48" s="17"/>
    </row>
    <row r="49" spans="2:12">
      <c r="B49" s="200"/>
      <c r="C49" s="645" t="s">
        <v>2056</v>
      </c>
      <c r="D49" s="200"/>
      <c r="E49" s="200"/>
      <c r="F49" s="391"/>
      <c r="G49" s="391">
        <f>G48*18%</f>
        <v>170100</v>
      </c>
      <c r="H49" s="69"/>
      <c r="I49" s="68"/>
      <c r="L49" s="17"/>
    </row>
    <row r="50" spans="2:12">
      <c r="B50" s="1104" t="s">
        <v>172</v>
      </c>
      <c r="C50" s="1104"/>
      <c r="D50" s="200"/>
      <c r="E50" s="200"/>
      <c r="F50" s="391"/>
      <c r="G50" s="391">
        <f>SUM(G48:G49)</f>
        <v>1115100</v>
      </c>
      <c r="H50" s="69"/>
      <c r="I50" s="68"/>
      <c r="L50" s="17"/>
    </row>
    <row r="51" spans="2:12">
      <c r="B51" s="200"/>
      <c r="C51" s="9"/>
      <c r="D51" s="200"/>
      <c r="E51" s="200"/>
      <c r="F51" s="391"/>
      <c r="G51" s="391"/>
      <c r="H51" s="69"/>
      <c r="I51" s="68"/>
      <c r="L51" s="17"/>
    </row>
    <row r="52" spans="2:12">
      <c r="B52" s="180" t="s">
        <v>176</v>
      </c>
      <c r="C52" s="2" t="s">
        <v>2064</v>
      </c>
      <c r="D52" s="200"/>
      <c r="E52" s="200"/>
      <c r="F52" s="391"/>
      <c r="G52" s="391"/>
      <c r="H52" s="69"/>
      <c r="I52" s="68"/>
      <c r="L52" s="17"/>
    </row>
    <row r="53" spans="2:12">
      <c r="B53" s="200">
        <v>1</v>
      </c>
      <c r="C53" s="645" t="s">
        <v>2065</v>
      </c>
      <c r="D53" s="200"/>
      <c r="E53" s="200">
        <v>1</v>
      </c>
      <c r="F53" s="391">
        <v>93754</v>
      </c>
      <c r="G53" s="391">
        <f>F53</f>
        <v>93754</v>
      </c>
      <c r="H53" s="69"/>
      <c r="I53" s="68"/>
      <c r="L53" s="17"/>
    </row>
    <row r="54" spans="2:12">
      <c r="B54" s="200">
        <v>2</v>
      </c>
      <c r="C54" s="9" t="s">
        <v>2066</v>
      </c>
      <c r="D54" s="200"/>
      <c r="E54" s="200">
        <v>1</v>
      </c>
      <c r="F54" s="391">
        <v>404794.1</v>
      </c>
      <c r="G54" s="391">
        <f>F54</f>
        <v>404794.1</v>
      </c>
      <c r="H54" s="69"/>
      <c r="I54" s="68"/>
      <c r="L54" s="17"/>
    </row>
    <row r="55" spans="2:12">
      <c r="B55" s="200">
        <v>3</v>
      </c>
      <c r="C55" s="645" t="s">
        <v>2067</v>
      </c>
      <c r="D55" s="200"/>
      <c r="E55" s="200">
        <v>1</v>
      </c>
      <c r="F55" s="391">
        <v>75650</v>
      </c>
      <c r="G55" s="391">
        <f>F55</f>
        <v>75650</v>
      </c>
      <c r="H55" s="69"/>
      <c r="I55" s="68"/>
      <c r="L55" s="17"/>
    </row>
    <row r="56" spans="2:12">
      <c r="B56" s="200">
        <v>4</v>
      </c>
      <c r="C56" s="9" t="s">
        <v>2068</v>
      </c>
      <c r="D56" s="200"/>
      <c r="E56" s="200"/>
      <c r="F56" s="391">
        <v>372934.86119999998</v>
      </c>
      <c r="G56" s="391">
        <f>F56</f>
        <v>372934.86119999998</v>
      </c>
      <c r="H56" s="69"/>
      <c r="I56" s="68"/>
      <c r="L56" s="17"/>
    </row>
    <row r="57" spans="2:12">
      <c r="B57" s="1104" t="s">
        <v>172</v>
      </c>
      <c r="C57" s="1104"/>
      <c r="D57" s="200"/>
      <c r="E57" s="200"/>
      <c r="F57" s="391"/>
      <c r="G57" s="391">
        <f>SUM(G53:G56)</f>
        <v>947132.96120000002</v>
      </c>
      <c r="H57" s="69"/>
      <c r="I57" s="68"/>
      <c r="L57" s="17"/>
    </row>
    <row r="58" spans="2:12">
      <c r="B58" s="200"/>
      <c r="C58" s="9"/>
      <c r="D58" s="200"/>
      <c r="E58" s="200"/>
      <c r="F58" s="391"/>
      <c r="G58" s="391"/>
      <c r="H58" s="69"/>
      <c r="I58" s="68"/>
      <c r="L58" s="17"/>
    </row>
    <row r="59" spans="2:12">
      <c r="B59" s="200"/>
      <c r="C59" s="9"/>
      <c r="D59" s="200"/>
      <c r="E59" s="200"/>
      <c r="F59" s="391"/>
      <c r="G59" s="391"/>
      <c r="H59" s="69"/>
      <c r="I59" s="68"/>
      <c r="L59" s="17"/>
    </row>
    <row r="60" spans="2:12">
      <c r="B60" s="200"/>
      <c r="C60" s="645"/>
      <c r="D60" s="200"/>
      <c r="E60" s="200"/>
      <c r="F60" s="391"/>
      <c r="G60" s="391"/>
      <c r="H60" s="69"/>
      <c r="I60" s="68"/>
      <c r="L60" s="17"/>
    </row>
    <row r="61" spans="2:12">
      <c r="B61" s="200"/>
      <c r="C61" s="9"/>
      <c r="D61" s="200"/>
      <c r="E61" s="200"/>
      <c r="F61" s="391"/>
      <c r="G61" s="391"/>
      <c r="H61" s="69"/>
      <c r="I61" s="68"/>
      <c r="L61" s="17"/>
    </row>
    <row r="62" spans="2:12">
      <c r="B62" s="200"/>
      <c r="C62" s="9"/>
      <c r="D62" s="200"/>
      <c r="E62" s="200"/>
      <c r="F62" s="391"/>
      <c r="G62" s="391"/>
      <c r="H62" s="69"/>
      <c r="I62" s="68"/>
      <c r="L62" s="17"/>
    </row>
    <row r="63" spans="2:12">
      <c r="B63" s="200"/>
      <c r="C63" s="9"/>
      <c r="D63" s="200"/>
      <c r="E63" s="200"/>
      <c r="F63" s="391"/>
      <c r="G63" s="391"/>
      <c r="H63" s="69"/>
      <c r="I63" s="68"/>
      <c r="L63" s="17"/>
    </row>
    <row r="64" spans="2:12">
      <c r="B64" s="200"/>
      <c r="C64" s="9"/>
      <c r="D64" s="200"/>
      <c r="E64" s="200"/>
      <c r="F64" s="391"/>
      <c r="G64" s="391"/>
      <c r="H64" s="69"/>
      <c r="I64" s="68"/>
      <c r="L64" s="17"/>
    </row>
    <row r="65" spans="2:12">
      <c r="B65" s="200"/>
      <c r="C65" s="9"/>
      <c r="D65" s="200"/>
      <c r="E65" s="200"/>
      <c r="F65" s="391"/>
      <c r="G65" s="391"/>
      <c r="H65" s="69"/>
      <c r="I65" s="68"/>
      <c r="L65" s="17"/>
    </row>
    <row r="66" spans="2:12">
      <c r="B66" s="200"/>
      <c r="C66" s="9"/>
      <c r="D66" s="200"/>
      <c r="E66" s="200"/>
      <c r="F66" s="391"/>
      <c r="G66" s="391"/>
      <c r="H66" s="69"/>
      <c r="I66" s="68"/>
      <c r="L66" s="17"/>
    </row>
    <row r="67" spans="2:12">
      <c r="B67" s="200"/>
      <c r="C67" s="9"/>
      <c r="D67" s="200"/>
      <c r="E67" s="200"/>
      <c r="F67" s="391"/>
      <c r="G67" s="391"/>
      <c r="H67" s="69"/>
      <c r="I67" s="68"/>
      <c r="L67" s="17"/>
    </row>
    <row r="68" spans="2:12">
      <c r="B68" s="200"/>
      <c r="C68" s="9"/>
      <c r="D68" s="200"/>
      <c r="E68" s="200"/>
      <c r="F68" s="391"/>
      <c r="G68" s="391"/>
      <c r="H68" s="69"/>
      <c r="I68" s="68"/>
      <c r="L68" s="17"/>
    </row>
    <row r="69" spans="2:12">
      <c r="B69" s="200"/>
      <c r="C69" s="9"/>
      <c r="D69" s="200"/>
      <c r="E69" s="200"/>
      <c r="F69" s="391"/>
      <c r="G69" s="391"/>
      <c r="H69" s="69"/>
      <c r="I69" s="68"/>
      <c r="L69" s="17"/>
    </row>
    <row r="70" spans="2:12">
      <c r="B70" s="200"/>
      <c r="C70" s="9"/>
      <c r="D70" s="200"/>
      <c r="E70" s="200"/>
      <c r="F70" s="391"/>
      <c r="G70" s="391"/>
      <c r="H70" s="69"/>
      <c r="I70" s="68"/>
      <c r="L70" s="17"/>
    </row>
    <row r="71" spans="2:12">
      <c r="B71" s="200"/>
      <c r="C71" s="9"/>
      <c r="D71" s="200"/>
      <c r="E71" s="200"/>
      <c r="F71" s="391"/>
      <c r="G71" s="391"/>
      <c r="H71" s="69"/>
      <c r="I71" s="68"/>
      <c r="L71" s="17"/>
    </row>
    <row r="72" spans="2:12">
      <c r="B72" s="200"/>
      <c r="C72" s="9"/>
      <c r="D72" s="200"/>
      <c r="E72" s="200"/>
      <c r="F72" s="391"/>
      <c r="G72" s="391"/>
      <c r="H72" s="69"/>
      <c r="I72" s="68"/>
      <c r="L72" s="17"/>
    </row>
    <row r="73" spans="2:12">
      <c r="B73" s="200"/>
      <c r="C73" s="9"/>
      <c r="D73" s="200"/>
      <c r="E73" s="200"/>
      <c r="F73" s="391"/>
      <c r="G73" s="391"/>
      <c r="H73" s="69"/>
      <c r="I73" s="68"/>
      <c r="L73" s="17"/>
    </row>
    <row r="74" spans="2:12">
      <c r="B74" s="200"/>
      <c r="C74" s="9"/>
      <c r="D74" s="200"/>
      <c r="E74" s="200"/>
      <c r="F74" s="391"/>
      <c r="G74" s="391"/>
      <c r="H74" s="69"/>
      <c r="I74" s="68"/>
      <c r="L74" s="17"/>
    </row>
    <row r="75" spans="2:12">
      <c r="B75" s="200"/>
      <c r="C75" s="9"/>
      <c r="D75" s="200"/>
      <c r="E75" s="200"/>
      <c r="F75" s="391"/>
      <c r="G75" s="391"/>
      <c r="H75" s="69"/>
      <c r="I75" s="68"/>
      <c r="L75" s="17"/>
    </row>
    <row r="76" spans="2:12">
      <c r="B76" s="200"/>
      <c r="C76" s="9"/>
      <c r="D76" s="200"/>
      <c r="E76" s="200"/>
      <c r="F76" s="391"/>
      <c r="G76" s="391"/>
      <c r="H76" s="69"/>
      <c r="I76" s="68"/>
      <c r="L76" s="17"/>
    </row>
    <row r="77" spans="2:12">
      <c r="B77" s="200"/>
      <c r="C77" s="9"/>
      <c r="D77" s="200"/>
      <c r="E77" s="200"/>
      <c r="F77" s="391"/>
      <c r="G77" s="391"/>
      <c r="H77" s="69"/>
      <c r="I77" s="68"/>
      <c r="L77" s="17"/>
    </row>
    <row r="78" spans="2:12">
      <c r="B78" s="1104"/>
      <c r="C78" s="1104"/>
      <c r="D78" s="180"/>
      <c r="E78" s="180"/>
      <c r="F78" s="185"/>
      <c r="G78" s="185"/>
      <c r="H78" s="185"/>
      <c r="I78" s="576"/>
      <c r="L78" s="17"/>
    </row>
    <row r="79" spans="2:12">
      <c r="B79" s="180"/>
      <c r="C79" s="180"/>
      <c r="D79" s="183"/>
      <c r="E79" s="200"/>
      <c r="F79" s="391"/>
      <c r="G79" s="185"/>
      <c r="H79" s="391"/>
      <c r="I79" s="575"/>
      <c r="L79" s="17"/>
    </row>
    <row r="80" spans="2:12" ht="14.25" customHeight="1">
      <c r="B80" s="180"/>
      <c r="C80" s="180"/>
      <c r="D80" s="183"/>
      <c r="E80" s="200"/>
      <c r="F80" s="391"/>
      <c r="G80" s="391"/>
      <c r="H80" s="391"/>
      <c r="I80" s="575"/>
    </row>
    <row r="81" spans="1:12">
      <c r="B81" s="180"/>
      <c r="C81" s="713"/>
      <c r="D81" s="183"/>
      <c r="E81" s="200"/>
      <c r="F81" s="391"/>
      <c r="G81" s="391"/>
      <c r="H81" s="391"/>
      <c r="I81" s="575"/>
    </row>
    <row r="82" spans="1:12">
      <c r="B82" s="200"/>
      <c r="C82" s="707"/>
      <c r="D82" s="183"/>
      <c r="E82" s="200"/>
      <c r="F82" s="391"/>
      <c r="G82" s="391"/>
      <c r="H82" s="391"/>
      <c r="I82" s="575"/>
      <c r="J82" s="51"/>
      <c r="K82" s="17"/>
    </row>
    <row r="83" spans="1:12">
      <c r="B83" s="200"/>
      <c r="C83" s="183"/>
      <c r="D83" s="183"/>
      <c r="E83" s="200"/>
      <c r="F83" s="391"/>
      <c r="G83" s="391"/>
      <c r="H83" s="69"/>
      <c r="I83" s="68"/>
    </row>
    <row r="84" spans="1:12">
      <c r="B84" s="1104"/>
      <c r="C84" s="1104"/>
      <c r="D84" s="183"/>
      <c r="E84" s="200"/>
      <c r="F84" s="391"/>
      <c r="G84" s="391"/>
      <c r="H84" s="391"/>
      <c r="I84" s="575"/>
      <c r="J84" s="17"/>
      <c r="K84" s="17"/>
    </row>
    <row r="85" spans="1:12" ht="7.5" customHeight="1">
      <c r="B85" s="200"/>
      <c r="C85" s="183"/>
      <c r="D85" s="183"/>
      <c r="E85" s="200"/>
      <c r="F85" s="391"/>
      <c r="G85" s="391"/>
      <c r="H85" s="69"/>
    </row>
    <row r="86" spans="1:12">
      <c r="B86" s="1104" t="s">
        <v>1</v>
      </c>
      <c r="C86" s="1104"/>
      <c r="D86" s="1104"/>
      <c r="E86" s="1104"/>
      <c r="F86" s="1104"/>
      <c r="G86" s="185">
        <f>G46+G50+G57</f>
        <v>18127932.961199999</v>
      </c>
      <c r="H86" s="185">
        <f>H46+H78+H84</f>
        <v>114.5</v>
      </c>
      <c r="I86" s="576" t="e">
        <f>G86-#REF!</f>
        <v>#REF!</v>
      </c>
      <c r="K86">
        <f>+K84*60%</f>
        <v>0</v>
      </c>
    </row>
    <row r="87" spans="1:12" ht="5.25" customHeight="1">
      <c r="B87" s="213"/>
      <c r="C87" s="9"/>
      <c r="D87" s="9"/>
      <c r="E87" s="9"/>
      <c r="F87" s="9"/>
      <c r="G87" s="712"/>
      <c r="H87" s="9"/>
    </row>
    <row r="88" spans="1:12">
      <c r="B88" s="1073" t="s">
        <v>414</v>
      </c>
      <c r="C88" s="1073"/>
      <c r="D88" s="1073"/>
      <c r="E88" s="1073"/>
      <c r="F88" s="1073"/>
      <c r="G88" s="1073"/>
      <c r="H88" s="1073"/>
      <c r="I88" s="683" t="e">
        <f>#REF!-I86</f>
        <v>#REF!</v>
      </c>
      <c r="J88" s="17" t="e">
        <f>I88-H15</f>
        <v>#REF!</v>
      </c>
    </row>
    <row r="89" spans="1:12">
      <c r="B89" s="12"/>
      <c r="G89" s="14"/>
      <c r="J89" s="12"/>
      <c r="K89" s="12"/>
      <c r="L89" s="15"/>
    </row>
    <row r="90" spans="1:12" hidden="1"/>
    <row r="91" spans="1:12" hidden="1"/>
    <row r="92" spans="1:12" ht="18.75">
      <c r="A92">
        <v>2.2999999999999998</v>
      </c>
      <c r="B92" s="724" t="s">
        <v>378</v>
      </c>
      <c r="C92" s="724"/>
      <c r="D92" s="724"/>
      <c r="E92" s="724"/>
      <c r="F92" s="724"/>
    </row>
    <row r="94" spans="1:12" ht="30">
      <c r="B94" s="18" t="s">
        <v>145</v>
      </c>
      <c r="C94" s="545" t="s">
        <v>127</v>
      </c>
      <c r="D94" s="549"/>
      <c r="E94" s="45" t="s">
        <v>152</v>
      </c>
      <c r="F94" s="45" t="s">
        <v>153</v>
      </c>
      <c r="G94" s="45" t="s">
        <v>159</v>
      </c>
    </row>
    <row r="95" spans="1:12">
      <c r="B95" s="407"/>
      <c r="C95" s="547"/>
      <c r="D95" s="551"/>
      <c r="E95" s="407"/>
      <c r="F95" s="408"/>
      <c r="G95" s="409"/>
    </row>
    <row r="96" spans="1:12">
      <c r="B96" s="407"/>
      <c r="C96" s="547"/>
      <c r="D96" s="551"/>
      <c r="E96" s="407"/>
      <c r="F96" s="408"/>
      <c r="G96" s="409"/>
    </row>
    <row r="97" spans="1:7">
      <c r="B97" s="407"/>
      <c r="C97" s="547"/>
      <c r="D97" s="551"/>
      <c r="E97" s="407"/>
      <c r="F97" s="408"/>
      <c r="G97" s="409"/>
    </row>
    <row r="98" spans="1:7">
      <c r="B98" s="407"/>
      <c r="C98" s="547"/>
      <c r="D98" s="551"/>
      <c r="E98" s="407"/>
      <c r="F98" s="408"/>
      <c r="G98" s="409"/>
    </row>
    <row r="99" spans="1:7">
      <c r="B99" s="407"/>
      <c r="C99" s="547"/>
      <c r="D99" s="551"/>
      <c r="E99" s="407"/>
      <c r="F99" s="408"/>
      <c r="G99" s="409"/>
    </row>
    <row r="100" spans="1:7">
      <c r="B100" s="407"/>
      <c r="C100" s="547"/>
      <c r="D100" s="551"/>
      <c r="E100" s="407"/>
      <c r="F100" s="408"/>
      <c r="G100" s="409"/>
    </row>
    <row r="101" spans="1:7">
      <c r="B101" s="407"/>
      <c r="C101" s="547"/>
      <c r="D101" s="551"/>
      <c r="E101" s="407"/>
      <c r="F101" s="408"/>
      <c r="G101" s="409"/>
    </row>
    <row r="102" spans="1:7">
      <c r="B102" s="407"/>
      <c r="C102" s="547"/>
      <c r="D102" s="551"/>
      <c r="E102" s="407"/>
      <c r="F102" s="408"/>
      <c r="G102" s="409"/>
    </row>
    <row r="103" spans="1:7">
      <c r="B103" s="407"/>
      <c r="C103" s="547"/>
      <c r="D103" s="551"/>
      <c r="E103" s="407"/>
      <c r="F103" s="408"/>
      <c r="G103" s="409"/>
    </row>
    <row r="104" spans="1:7">
      <c r="B104" s="1120" t="s">
        <v>1</v>
      </c>
      <c r="C104" s="1121"/>
      <c r="D104" s="1122"/>
      <c r="E104" s="374"/>
      <c r="F104" s="374"/>
      <c r="G104" s="16">
        <f>SUM(G95:G103)</f>
        <v>0</v>
      </c>
    </row>
    <row r="106" spans="1:7">
      <c r="A106" s="1073" t="s">
        <v>415</v>
      </c>
      <c r="B106" s="1073"/>
      <c r="C106" s="1073"/>
      <c r="D106" s="1073"/>
      <c r="E106" s="1073"/>
      <c r="F106" s="1073"/>
      <c r="G106" s="1073"/>
    </row>
    <row r="107" spans="1:7" hidden="1"/>
    <row r="109" spans="1:7" ht="18.75">
      <c r="A109">
        <v>2.4</v>
      </c>
      <c r="B109" s="724" t="s">
        <v>377</v>
      </c>
      <c r="C109" s="724"/>
      <c r="D109" s="724"/>
      <c r="E109" s="724"/>
      <c r="F109" s="724"/>
    </row>
    <row r="111" spans="1:7" ht="30">
      <c r="B111" s="18" t="s">
        <v>145</v>
      </c>
      <c r="C111" s="545" t="s">
        <v>127</v>
      </c>
      <c r="D111" s="549"/>
      <c r="E111" s="45" t="s">
        <v>152</v>
      </c>
      <c r="F111" s="45" t="s">
        <v>153</v>
      </c>
      <c r="G111" s="45" t="s">
        <v>159</v>
      </c>
    </row>
    <row r="112" spans="1:7">
      <c r="B112" s="268"/>
      <c r="C112" s="546"/>
      <c r="D112" s="550"/>
      <c r="E112" s="268"/>
      <c r="F112" s="392"/>
      <c r="G112" s="393"/>
    </row>
    <row r="113" spans="1:15" hidden="1">
      <c r="B113" s="268"/>
      <c r="C113" s="546"/>
      <c r="D113" s="550"/>
      <c r="E113" s="268"/>
      <c r="F113" s="392"/>
      <c r="G113" s="393"/>
      <c r="K113">
        <v>500000</v>
      </c>
    </row>
    <row r="114" spans="1:15" hidden="1">
      <c r="B114" s="268"/>
      <c r="C114" s="546"/>
      <c r="D114" s="550"/>
      <c r="E114" s="268"/>
      <c r="F114" s="392"/>
      <c r="G114" s="393"/>
      <c r="K114">
        <v>350000</v>
      </c>
    </row>
    <row r="115" spans="1:15">
      <c r="B115" s="407"/>
      <c r="C115" s="547"/>
      <c r="D115" s="551"/>
      <c r="E115" s="407"/>
      <c r="F115" s="408"/>
      <c r="G115" s="409"/>
    </row>
    <row r="116" spans="1:15">
      <c r="B116" s="407"/>
      <c r="C116" s="547"/>
      <c r="D116" s="551"/>
      <c r="E116" s="407"/>
      <c r="F116" s="408"/>
      <c r="G116" s="409"/>
    </row>
    <row r="117" spans="1:15" hidden="1">
      <c r="B117" s="402"/>
      <c r="C117" s="548"/>
      <c r="D117" s="552"/>
      <c r="E117" s="402"/>
      <c r="F117" s="403"/>
      <c r="G117" s="404"/>
      <c r="K117">
        <f>+F117*18%</f>
        <v>0</v>
      </c>
      <c r="L117" s="17">
        <f>+F117+K117</f>
        <v>0</v>
      </c>
    </row>
    <row r="118" spans="1:15">
      <c r="B118" s="407"/>
      <c r="C118" s="547"/>
      <c r="D118" s="551"/>
      <c r="E118" s="407"/>
      <c r="F118" s="408"/>
      <c r="G118" s="409"/>
    </row>
    <row r="119" spans="1:15">
      <c r="B119" s="1120" t="s">
        <v>1</v>
      </c>
      <c r="C119" s="1121"/>
      <c r="D119" s="1122"/>
      <c r="E119" s="374"/>
      <c r="F119" s="374"/>
      <c r="G119" s="394">
        <f>SUM(G112:G118)</f>
        <v>0</v>
      </c>
    </row>
    <row r="121" spans="1:15">
      <c r="A121" s="1073" t="s">
        <v>415</v>
      </c>
      <c r="B121" s="1073"/>
      <c r="C121" s="1073"/>
      <c r="D121" s="1073"/>
      <c r="E121" s="1073"/>
      <c r="F121" s="1073"/>
      <c r="G121" s="1073"/>
    </row>
    <row r="122" spans="1:15" hidden="1"/>
    <row r="124" spans="1:15" ht="18.75">
      <c r="A124">
        <v>2.5</v>
      </c>
      <c r="B124" s="724" t="s">
        <v>612</v>
      </c>
      <c r="C124" s="724"/>
      <c r="D124" s="724"/>
      <c r="E124" s="724"/>
      <c r="F124" s="724"/>
    </row>
    <row r="126" spans="1:15" ht="28.5">
      <c r="B126" s="173" t="s">
        <v>145</v>
      </c>
      <c r="C126" s="541" t="s">
        <v>127</v>
      </c>
      <c r="D126" s="543"/>
      <c r="E126" s="174" t="s">
        <v>152</v>
      </c>
      <c r="F126" s="174" t="s">
        <v>153</v>
      </c>
      <c r="G126" s="174" t="s">
        <v>159</v>
      </c>
      <c r="K126" s="17">
        <f>+G127+G130</f>
        <v>0</v>
      </c>
    </row>
    <row r="127" spans="1:15" hidden="1">
      <c r="B127" s="200">
        <v>1</v>
      </c>
      <c r="C127" s="542" t="s">
        <v>669</v>
      </c>
      <c r="D127" s="544"/>
      <c r="E127" s="200">
        <v>2</v>
      </c>
      <c r="F127" s="395">
        <v>3099600</v>
      </c>
      <c r="G127" s="391">
        <v>0</v>
      </c>
      <c r="I127">
        <f>+G127*30%</f>
        <v>0</v>
      </c>
      <c r="M127" t="s">
        <v>711</v>
      </c>
      <c r="N127">
        <v>1452000</v>
      </c>
      <c r="O127">
        <f>+N127</f>
        <v>1452000</v>
      </c>
    </row>
    <row r="128" spans="1:15" hidden="1">
      <c r="B128" s="200">
        <v>1</v>
      </c>
      <c r="C128" s="542" t="s">
        <v>824</v>
      </c>
      <c r="D128" s="544"/>
      <c r="E128" s="200">
        <v>1</v>
      </c>
      <c r="F128" s="395">
        <v>2355004</v>
      </c>
      <c r="G128" s="391">
        <v>0</v>
      </c>
    </row>
    <row r="129" spans="1:15" hidden="1">
      <c r="B129" s="200">
        <v>1</v>
      </c>
      <c r="C129" s="542" t="s">
        <v>825</v>
      </c>
      <c r="D129" s="544"/>
      <c r="E129" s="200">
        <v>1</v>
      </c>
      <c r="F129" s="395">
        <f>2636616</f>
        <v>2636616</v>
      </c>
      <c r="G129" s="391">
        <v>0</v>
      </c>
    </row>
    <row r="130" spans="1:15" ht="22.5" hidden="1" customHeight="1">
      <c r="B130" s="200">
        <v>2</v>
      </c>
      <c r="C130" s="1112" t="s">
        <v>1665</v>
      </c>
      <c r="D130" s="1113"/>
      <c r="E130" s="200">
        <v>1</v>
      </c>
      <c r="F130" s="395">
        <v>1480000</v>
      </c>
      <c r="G130" s="391">
        <v>0</v>
      </c>
      <c r="I130" s="17"/>
      <c r="M130" t="s">
        <v>710</v>
      </c>
      <c r="N130">
        <v>1930000</v>
      </c>
      <c r="O130">
        <f>+N130</f>
        <v>1930000</v>
      </c>
    </row>
    <row r="131" spans="1:15" ht="30">
      <c r="B131" s="670">
        <v>1</v>
      </c>
      <c r="C131" s="671" t="s">
        <v>826</v>
      </c>
      <c r="D131" s="672"/>
      <c r="E131" s="670">
        <v>0</v>
      </c>
      <c r="F131" s="673">
        <v>955144</v>
      </c>
      <c r="G131" s="674">
        <f>+F131*E131</f>
        <v>0</v>
      </c>
      <c r="M131" t="s">
        <v>712</v>
      </c>
      <c r="N131">
        <v>1007593</v>
      </c>
      <c r="O131">
        <f>+N131*2</f>
        <v>2015186</v>
      </c>
    </row>
    <row r="132" spans="1:15">
      <c r="B132" s="660"/>
      <c r="C132" s="542"/>
      <c r="D132" s="544"/>
      <c r="E132" s="200"/>
      <c r="F132" s="395"/>
      <c r="G132" s="391"/>
    </row>
    <row r="133" spans="1:15">
      <c r="B133" s="660"/>
      <c r="C133" s="542"/>
      <c r="D133" s="544"/>
      <c r="E133" s="200"/>
      <c r="F133" s="395"/>
      <c r="G133" s="391"/>
    </row>
    <row r="134" spans="1:15">
      <c r="B134" s="1115" t="s">
        <v>1</v>
      </c>
      <c r="C134" s="1116"/>
      <c r="D134" s="1117"/>
      <c r="E134" s="181"/>
      <c r="F134" s="181"/>
      <c r="G134" s="176">
        <f>SUM(G127:G131)</f>
        <v>0</v>
      </c>
      <c r="K134">
        <f>+G134*60%</f>
        <v>0</v>
      </c>
    </row>
    <row r="135" spans="1:15">
      <c r="A135" s="1119" t="s">
        <v>447</v>
      </c>
      <c r="B135" s="1119"/>
      <c r="C135" s="1119"/>
      <c r="D135" s="1119"/>
      <c r="E135" s="1119"/>
      <c r="F135" s="1119"/>
      <c r="G135" s="1119"/>
    </row>
    <row r="137" spans="1:15" hidden="1">
      <c r="M137">
        <f>SUM(M127:M136)</f>
        <v>0</v>
      </c>
      <c r="N137">
        <f>SUM(N127:N136)</f>
        <v>4389593</v>
      </c>
      <c r="O137" s="17">
        <f>+N137-G134</f>
        <v>4389593</v>
      </c>
    </row>
    <row r="138" spans="1:15" ht="18.75">
      <c r="A138">
        <v>2.6</v>
      </c>
      <c r="B138" s="724" t="s">
        <v>256</v>
      </c>
      <c r="C138" s="724"/>
      <c r="D138" s="724"/>
      <c r="M138" s="17">
        <f>+G134-M137</f>
        <v>0</v>
      </c>
    </row>
    <row r="140" spans="1:15" ht="28.5">
      <c r="B140" s="173" t="s">
        <v>145</v>
      </c>
      <c r="C140" s="1123" t="s">
        <v>127</v>
      </c>
      <c r="D140" s="1123"/>
      <c r="E140" s="1123"/>
      <c r="F140" s="1123"/>
      <c r="G140" s="174" t="s">
        <v>376</v>
      </c>
      <c r="K140">
        <f>36000*3</f>
        <v>108000</v>
      </c>
    </row>
    <row r="141" spans="1:15">
      <c r="B141" s="175">
        <v>1</v>
      </c>
      <c r="C141" s="1124" t="s">
        <v>161</v>
      </c>
      <c r="D141" s="1124"/>
      <c r="E141" s="1124"/>
      <c r="F141" s="1124"/>
      <c r="G141" s="391">
        <v>1743203</v>
      </c>
    </row>
    <row r="142" spans="1:15">
      <c r="B142" s="175">
        <v>2</v>
      </c>
      <c r="C142" s="1112" t="s">
        <v>2060</v>
      </c>
      <c r="D142" s="1114"/>
      <c r="E142" s="1114"/>
      <c r="F142" s="1113"/>
      <c r="G142" s="391">
        <v>25000</v>
      </c>
    </row>
    <row r="143" spans="1:15">
      <c r="B143" s="175">
        <v>3</v>
      </c>
      <c r="C143" s="1112" t="s">
        <v>2061</v>
      </c>
      <c r="D143" s="1114"/>
      <c r="E143" s="1114"/>
      <c r="F143" s="1113"/>
      <c r="G143" s="391">
        <v>18000</v>
      </c>
    </row>
    <row r="144" spans="1:15">
      <c r="B144" s="175">
        <v>4</v>
      </c>
      <c r="C144" s="1112" t="s">
        <v>2062</v>
      </c>
      <c r="D144" s="1114"/>
      <c r="E144" s="1114"/>
      <c r="F144" s="1113"/>
      <c r="G144" s="391">
        <v>97000</v>
      </c>
    </row>
    <row r="145" spans="1:7">
      <c r="B145" s="1115" t="s">
        <v>1</v>
      </c>
      <c r="C145" s="1116"/>
      <c r="D145" s="1116"/>
      <c r="E145" s="1116"/>
      <c r="F145" s="1117"/>
      <c r="G145" s="185">
        <f>SUM(G141:G144)</f>
        <v>1883203</v>
      </c>
    </row>
    <row r="147" spans="1:7" ht="26.1" customHeight="1">
      <c r="A147" s="1118" t="s">
        <v>448</v>
      </c>
      <c r="B147" s="1118"/>
      <c r="C147" s="1118"/>
      <c r="D147" s="1118"/>
      <c r="E147" s="1118"/>
    </row>
  </sheetData>
  <mergeCells count="33">
    <mergeCell ref="A147:E147"/>
    <mergeCell ref="B84:C84"/>
    <mergeCell ref="A121:G121"/>
    <mergeCell ref="B124:F124"/>
    <mergeCell ref="A135:G135"/>
    <mergeCell ref="B138:D138"/>
    <mergeCell ref="B92:F92"/>
    <mergeCell ref="A106:G106"/>
    <mergeCell ref="B109:F109"/>
    <mergeCell ref="B104:D104"/>
    <mergeCell ref="B119:D119"/>
    <mergeCell ref="B134:D134"/>
    <mergeCell ref="C140:F140"/>
    <mergeCell ref="C141:F141"/>
    <mergeCell ref="C130:D130"/>
    <mergeCell ref="C143:F143"/>
    <mergeCell ref="C144:F144"/>
    <mergeCell ref="B145:F145"/>
    <mergeCell ref="B50:C50"/>
    <mergeCell ref="C142:F142"/>
    <mergeCell ref="B57:C57"/>
    <mergeCell ref="B2:G2"/>
    <mergeCell ref="B18:G18"/>
    <mergeCell ref="B88:H88"/>
    <mergeCell ref="B86:F86"/>
    <mergeCell ref="B20:H20"/>
    <mergeCell ref="B46:C46"/>
    <mergeCell ref="B78:C78"/>
    <mergeCell ref="B15:D15"/>
    <mergeCell ref="C4:D4"/>
    <mergeCell ref="C5:D5"/>
    <mergeCell ref="C6:D6"/>
    <mergeCell ref="C7:D7"/>
  </mergeCells>
  <pageMargins left="0.7" right="0.7" top="0.75" bottom="0.75" header="0.3" footer="0.3"/>
  <pageSetup scale="79" orientation="portrait" r:id="rId1"/>
  <rowBreaks count="1" manualBreakCount="1">
    <brk id="88"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H25"/>
  <sheetViews>
    <sheetView topLeftCell="A23" workbookViewId="0">
      <selection activeCell="G23" sqref="G23"/>
    </sheetView>
  </sheetViews>
  <sheetFormatPr defaultRowHeight="15"/>
  <cols>
    <col min="3" max="3" width="6.85546875" bestFit="1" customWidth="1"/>
    <col min="4" max="4" width="46.85546875" bestFit="1" customWidth="1"/>
    <col min="5" max="5" width="4.5703125" bestFit="1" customWidth="1"/>
    <col min="6" max="6" width="9.5703125" bestFit="1" customWidth="1"/>
    <col min="7" max="7" width="12.7109375" bestFit="1" customWidth="1"/>
    <col min="8" max="8" width="11.85546875" bestFit="1" customWidth="1"/>
  </cols>
  <sheetData>
    <row r="6" spans="3:8">
      <c r="C6" s="714" t="s">
        <v>145</v>
      </c>
      <c r="D6" s="714" t="s">
        <v>0</v>
      </c>
      <c r="E6" s="714" t="s">
        <v>132</v>
      </c>
      <c r="F6" s="714" t="s">
        <v>2029</v>
      </c>
      <c r="G6" s="714" t="s">
        <v>2030</v>
      </c>
      <c r="H6" s="714" t="s">
        <v>2031</v>
      </c>
    </row>
    <row r="7" spans="3:8">
      <c r="C7" s="715" t="s">
        <v>174</v>
      </c>
      <c r="D7" s="716" t="s">
        <v>2032</v>
      </c>
      <c r="E7" s="698"/>
      <c r="F7" s="698"/>
      <c r="G7" s="698"/>
      <c r="H7" s="698"/>
    </row>
    <row r="8" spans="3:8">
      <c r="C8" s="697">
        <v>1</v>
      </c>
      <c r="D8" s="697">
        <v>0</v>
      </c>
      <c r="E8" s="697">
        <v>1</v>
      </c>
      <c r="F8" s="698"/>
      <c r="G8" s="698"/>
      <c r="H8" s="717">
        <v>0</v>
      </c>
    </row>
    <row r="9" spans="3:8">
      <c r="C9" s="1125" t="s">
        <v>172</v>
      </c>
      <c r="D9" s="1125"/>
      <c r="E9" s="1125"/>
      <c r="F9" s="1125"/>
      <c r="G9" s="716" t="s">
        <v>2069</v>
      </c>
      <c r="H9" s="698"/>
    </row>
    <row r="10" spans="3:8">
      <c r="C10" s="715" t="s">
        <v>175</v>
      </c>
      <c r="D10" s="716" t="s">
        <v>2034</v>
      </c>
      <c r="E10" s="698"/>
      <c r="F10" s="698"/>
      <c r="G10" s="698"/>
      <c r="H10" s="698"/>
    </row>
    <row r="11" spans="3:8">
      <c r="C11" s="698">
        <v>1</v>
      </c>
      <c r="D11" s="698" t="str">
        <f>'2.Capex Details'!C6</f>
        <v>Civil Work of Dal Mill Processing Unit</v>
      </c>
      <c r="E11" s="698">
        <v>1</v>
      </c>
      <c r="F11" s="718">
        <f>'2.Capex Details'!H6</f>
        <v>6389200</v>
      </c>
      <c r="G11" s="718">
        <f>F11</f>
        <v>6389200</v>
      </c>
      <c r="H11" s="1126">
        <f>G17/G23</f>
        <v>0.9517320952586088</v>
      </c>
    </row>
    <row r="12" spans="3:8">
      <c r="C12" s="697">
        <v>2</v>
      </c>
      <c r="D12" s="698" t="str">
        <f>'2.Capex Details'!C7</f>
        <v>Civil Work of Warehouse</v>
      </c>
      <c r="E12" s="697">
        <v>1</v>
      </c>
      <c r="F12" s="718">
        <f>'2.Capex Details'!H7</f>
        <v>12615300</v>
      </c>
      <c r="G12" s="718">
        <f t="shared" ref="G12:G15" si="0">F12</f>
        <v>12615300</v>
      </c>
      <c r="H12" s="1126"/>
    </row>
    <row r="13" spans="3:8">
      <c r="C13" s="697">
        <v>3</v>
      </c>
      <c r="D13" s="698" t="str">
        <f>'2.Capex Details'!C24</f>
        <v>Dal Mill Unit</v>
      </c>
      <c r="E13" s="697">
        <v>1</v>
      </c>
      <c r="F13" s="699">
        <f>'2.Capex Details'!G46</f>
        <v>16065700</v>
      </c>
      <c r="G13" s="718">
        <f t="shared" si="0"/>
        <v>16065700</v>
      </c>
      <c r="H13" s="1126"/>
    </row>
    <row r="14" spans="3:8">
      <c r="C14" s="697">
        <v>4</v>
      </c>
      <c r="D14" s="698" t="str">
        <f>'2.Capex Details'!C47</f>
        <v>Weighing Bridge</v>
      </c>
      <c r="E14" s="697">
        <v>1</v>
      </c>
      <c r="F14" s="699">
        <f>'2.Capex Details'!G50</f>
        <v>1115100</v>
      </c>
      <c r="G14" s="718">
        <f t="shared" si="0"/>
        <v>1115100</v>
      </c>
      <c r="H14" s="1126"/>
    </row>
    <row r="15" spans="3:8">
      <c r="C15" s="697"/>
      <c r="D15" s="698" t="str">
        <f>'2.Capex Details'!C52</f>
        <v>Electricity Connection</v>
      </c>
      <c r="E15" s="697">
        <v>1</v>
      </c>
      <c r="F15" s="699">
        <f>'2.Capex Details'!G57</f>
        <v>947132.96120000002</v>
      </c>
      <c r="G15" s="718">
        <f t="shared" si="0"/>
        <v>947132.96120000002</v>
      </c>
      <c r="H15" s="1126"/>
    </row>
    <row r="16" spans="3:8">
      <c r="C16" s="697"/>
      <c r="D16" s="698"/>
      <c r="E16" s="697"/>
      <c r="F16" s="699"/>
      <c r="G16" s="699"/>
      <c r="H16" s="719"/>
    </row>
    <row r="17" spans="3:8">
      <c r="C17" s="1125" t="s">
        <v>172</v>
      </c>
      <c r="D17" s="1125"/>
      <c r="E17" s="716"/>
      <c r="F17" s="720"/>
      <c r="G17" s="721">
        <f>SUM(G11:G15)</f>
        <v>37132432.961199999</v>
      </c>
      <c r="H17" s="719"/>
    </row>
    <row r="18" spans="3:8">
      <c r="C18" s="715" t="s">
        <v>176</v>
      </c>
      <c r="D18" s="716" t="s">
        <v>2035</v>
      </c>
      <c r="E18" s="698"/>
      <c r="F18" s="720"/>
      <c r="G18" s="720"/>
      <c r="H18" s="698"/>
    </row>
    <row r="19" spans="3:8">
      <c r="C19" s="697">
        <v>1</v>
      </c>
      <c r="D19" s="698" t="s">
        <v>336</v>
      </c>
      <c r="E19" s="697">
        <v>1</v>
      </c>
      <c r="F19" s="699">
        <v>0</v>
      </c>
      <c r="G19" s="699"/>
      <c r="H19" s="1126">
        <f>G21/G23</f>
        <v>4.826790474139124E-2</v>
      </c>
    </row>
    <row r="20" spans="3:8">
      <c r="C20" s="697">
        <v>2</v>
      </c>
      <c r="D20" s="698" t="s">
        <v>2036</v>
      </c>
      <c r="E20" s="697">
        <v>1</v>
      </c>
      <c r="F20" s="699">
        <v>0</v>
      </c>
      <c r="G20" s="699"/>
      <c r="H20" s="1126"/>
    </row>
    <row r="21" spans="3:8">
      <c r="C21" s="697">
        <v>3</v>
      </c>
      <c r="D21" s="698" t="s">
        <v>2037</v>
      </c>
      <c r="E21" s="697">
        <v>1</v>
      </c>
      <c r="F21" s="699">
        <f>'2.Capex Details'!G145</f>
        <v>1883203</v>
      </c>
      <c r="G21" s="699">
        <f>F21</f>
        <v>1883203</v>
      </c>
      <c r="H21" s="1126"/>
    </row>
    <row r="22" spans="3:8">
      <c r="C22" s="1125" t="s">
        <v>172</v>
      </c>
      <c r="D22" s="1125"/>
      <c r="E22" s="1125"/>
      <c r="F22" s="1125"/>
      <c r="G22" s="721">
        <f>G21</f>
        <v>1883203</v>
      </c>
      <c r="H22" s="722"/>
    </row>
    <row r="23" spans="3:8">
      <c r="C23" s="1125" t="s">
        <v>2070</v>
      </c>
      <c r="D23" s="1125"/>
      <c r="E23" s="1125"/>
      <c r="F23" s="1125"/>
      <c r="G23" s="721">
        <f>G22+G17</f>
        <v>39015635.961199999</v>
      </c>
      <c r="H23" s="698"/>
    </row>
    <row r="24" spans="3:8">
      <c r="G24">
        <f>SUM('1.Project Cost and MOF (2)'!D5:D10)</f>
        <v>39015635.961199999</v>
      </c>
    </row>
    <row r="25" spans="3:8">
      <c r="G25" s="684">
        <f>G24-G23</f>
        <v>0</v>
      </c>
    </row>
  </sheetData>
  <mergeCells count="6">
    <mergeCell ref="C9:F9"/>
    <mergeCell ref="C17:D17"/>
    <mergeCell ref="C22:F22"/>
    <mergeCell ref="C23:F23"/>
    <mergeCell ref="H19:H21"/>
    <mergeCell ref="H11:H1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01"/>
  <sheetViews>
    <sheetView view="pageBreakPreview" topLeftCell="A28" zoomScale="85" zoomScaleSheetLayoutView="85" workbookViewId="0">
      <selection activeCell="J28" sqref="J28"/>
    </sheetView>
  </sheetViews>
  <sheetFormatPr defaultRowHeight="15"/>
  <cols>
    <col min="1" max="1" width="35.5703125" customWidth="1"/>
    <col min="2" max="2" width="14.5703125" bestFit="1" customWidth="1"/>
    <col min="3" max="3" width="13.28515625" customWidth="1"/>
    <col min="4" max="4" width="13.42578125" customWidth="1"/>
    <col min="5" max="5" width="14.85546875" customWidth="1"/>
    <col min="6" max="7" width="14.7109375" bestFit="1" customWidth="1"/>
    <col min="8" max="8" width="14.85546875" bestFit="1" customWidth="1"/>
    <col min="9" max="9" width="14.85546875" customWidth="1"/>
    <col min="10" max="10" width="14.7109375" bestFit="1" customWidth="1"/>
    <col min="11" max="11" width="14.85546875" customWidth="1"/>
    <col min="12" max="12" width="39.140625" customWidth="1"/>
    <col min="13" max="13" width="12.7109375" bestFit="1" customWidth="1"/>
    <col min="14" max="20" width="15.5703125" customWidth="1"/>
  </cols>
  <sheetData>
    <row r="2" spans="1:11" ht="18.75">
      <c r="A2" s="724" t="s">
        <v>550</v>
      </c>
      <c r="B2" s="724"/>
      <c r="C2" s="724"/>
      <c r="D2" s="724"/>
      <c r="E2" s="724"/>
      <c r="F2" s="724"/>
      <c r="G2" s="724"/>
      <c r="H2" s="724"/>
      <c r="I2" s="724"/>
      <c r="J2" s="724"/>
      <c r="K2" s="724"/>
    </row>
    <row r="4" spans="1:11">
      <c r="A4" s="68"/>
      <c r="B4" s="68"/>
      <c r="C4" s="68"/>
      <c r="D4" s="68"/>
      <c r="E4" s="148">
        <v>1</v>
      </c>
      <c r="F4" s="146">
        <f>(E4*5%)+E4</f>
        <v>1.05</v>
      </c>
      <c r="G4" s="146">
        <f>(F4*5%)+F4</f>
        <v>1.1025</v>
      </c>
      <c r="H4" s="146">
        <v>1.2</v>
      </c>
      <c r="I4" s="146">
        <f>(H4*5%)+H4</f>
        <v>1.26</v>
      </c>
      <c r="J4" s="146">
        <f>(I4*5%)+I4</f>
        <v>1.323</v>
      </c>
      <c r="K4" s="146">
        <f>(J4*5%)+J4</f>
        <v>1.3891499999999999</v>
      </c>
    </row>
    <row r="5" spans="1:11">
      <c r="A5" s="68"/>
      <c r="B5" s="68"/>
      <c r="C5" s="68"/>
      <c r="D5" s="68"/>
      <c r="E5" s="68"/>
      <c r="F5" s="68"/>
      <c r="G5" s="68"/>
      <c r="H5" s="68"/>
      <c r="I5" s="68"/>
      <c r="J5" s="68"/>
      <c r="K5" s="68"/>
    </row>
    <row r="6" spans="1:11">
      <c r="A6" s="119" t="s">
        <v>0</v>
      </c>
      <c r="B6" s="119" t="s">
        <v>132</v>
      </c>
      <c r="C6" s="119" t="s">
        <v>390</v>
      </c>
      <c r="D6" s="119" t="s">
        <v>290</v>
      </c>
      <c r="E6" s="91" t="s">
        <v>2</v>
      </c>
      <c r="F6" s="91" t="s">
        <v>3</v>
      </c>
      <c r="G6" s="91" t="s">
        <v>4</v>
      </c>
      <c r="H6" s="91" t="s">
        <v>5</v>
      </c>
      <c r="I6" s="91" t="s">
        <v>6</v>
      </c>
      <c r="J6" s="91" t="s">
        <v>170</v>
      </c>
      <c r="K6" s="91" t="s">
        <v>169</v>
      </c>
    </row>
    <row r="7" spans="1:11">
      <c r="A7" s="69"/>
      <c r="B7" s="69"/>
      <c r="C7" s="69"/>
      <c r="D7" s="69"/>
      <c r="E7" s="69"/>
      <c r="F7" s="69"/>
      <c r="G7" s="69"/>
      <c r="H7" s="69"/>
      <c r="I7" s="69"/>
      <c r="J7" s="69"/>
      <c r="K7" s="69"/>
    </row>
    <row r="8" spans="1:11">
      <c r="A8" s="69" t="s">
        <v>333</v>
      </c>
      <c r="B8" s="69" t="s">
        <v>391</v>
      </c>
      <c r="C8" s="69">
        <v>1</v>
      </c>
      <c r="D8" s="159">
        <v>25000</v>
      </c>
      <c r="E8" s="70">
        <f>$C8*$D8*12*E$4</f>
        <v>300000</v>
      </c>
      <c r="F8" s="70">
        <f t="shared" ref="F8:K10" si="0">$C8*$D8*12*F$4</f>
        <v>315000</v>
      </c>
      <c r="G8" s="70">
        <f t="shared" si="0"/>
        <v>330750</v>
      </c>
      <c r="H8" s="70">
        <f t="shared" si="0"/>
        <v>360000</v>
      </c>
      <c r="I8" s="70">
        <f t="shared" si="0"/>
        <v>378000</v>
      </c>
      <c r="J8" s="70">
        <f t="shared" si="0"/>
        <v>396900</v>
      </c>
      <c r="K8" s="70">
        <f t="shared" si="0"/>
        <v>416744.99999999994</v>
      </c>
    </row>
    <row r="9" spans="1:11">
      <c r="A9" s="69" t="s">
        <v>189</v>
      </c>
      <c r="B9" s="69" t="s">
        <v>391</v>
      </c>
      <c r="C9" s="69">
        <v>1</v>
      </c>
      <c r="D9" s="159">
        <v>20000</v>
      </c>
      <c r="E9" s="70">
        <f>$C9*$D9*12*E$4</f>
        <v>240000</v>
      </c>
      <c r="F9" s="70">
        <f t="shared" si="0"/>
        <v>252000</v>
      </c>
      <c r="G9" s="70">
        <f t="shared" si="0"/>
        <v>264600</v>
      </c>
      <c r="H9" s="70">
        <f t="shared" si="0"/>
        <v>288000</v>
      </c>
      <c r="I9" s="70">
        <f t="shared" si="0"/>
        <v>302400</v>
      </c>
      <c r="J9" s="70">
        <f t="shared" si="0"/>
        <v>317520</v>
      </c>
      <c r="K9" s="70">
        <f t="shared" si="0"/>
        <v>333396</v>
      </c>
    </row>
    <row r="10" spans="1:11">
      <c r="A10" s="69" t="s">
        <v>194</v>
      </c>
      <c r="B10" s="69" t="s">
        <v>391</v>
      </c>
      <c r="C10" s="69">
        <v>3</v>
      </c>
      <c r="D10" s="159">
        <v>10000</v>
      </c>
      <c r="E10" s="70">
        <f>$C10*$D10*12*E$4</f>
        <v>360000</v>
      </c>
      <c r="F10" s="70">
        <f t="shared" si="0"/>
        <v>378000</v>
      </c>
      <c r="G10" s="70">
        <f t="shared" si="0"/>
        <v>396900</v>
      </c>
      <c r="H10" s="70">
        <f t="shared" si="0"/>
        <v>432000</v>
      </c>
      <c r="I10" s="70">
        <f t="shared" si="0"/>
        <v>453600</v>
      </c>
      <c r="J10" s="70">
        <f t="shared" si="0"/>
        <v>476280</v>
      </c>
      <c r="K10" s="70">
        <f t="shared" si="0"/>
        <v>500093.99999999994</v>
      </c>
    </row>
    <row r="11" spans="1:11">
      <c r="A11" s="69" t="s">
        <v>130</v>
      </c>
      <c r="B11" s="69" t="s">
        <v>392</v>
      </c>
      <c r="C11" s="69">
        <v>12</v>
      </c>
      <c r="D11" s="159">
        <v>2000</v>
      </c>
      <c r="E11" s="70">
        <f>$C11*$D11*E$4</f>
        <v>24000</v>
      </c>
      <c r="F11" s="70">
        <f t="shared" ref="F11:K15" si="1">$C11*$D11*F$4</f>
        <v>25200</v>
      </c>
      <c r="G11" s="70">
        <f t="shared" si="1"/>
        <v>26460</v>
      </c>
      <c r="H11" s="70">
        <f t="shared" si="1"/>
        <v>28800</v>
      </c>
      <c r="I11" s="70">
        <f t="shared" si="1"/>
        <v>30240</v>
      </c>
      <c r="J11" s="70">
        <f t="shared" si="1"/>
        <v>31752</v>
      </c>
      <c r="K11" s="70">
        <f t="shared" si="1"/>
        <v>33339.599999999999</v>
      </c>
    </row>
    <row r="12" spans="1:11">
      <c r="A12" s="69" t="s">
        <v>10</v>
      </c>
      <c r="B12" s="69" t="s">
        <v>392</v>
      </c>
      <c r="C12" s="69">
        <v>12</v>
      </c>
      <c r="D12" s="159">
        <v>2000</v>
      </c>
      <c r="E12" s="70">
        <f>$C12*$D12*E$4</f>
        <v>24000</v>
      </c>
      <c r="F12" s="70">
        <f t="shared" si="1"/>
        <v>25200</v>
      </c>
      <c r="G12" s="70">
        <f t="shared" si="1"/>
        <v>26460</v>
      </c>
      <c r="H12" s="70">
        <f t="shared" si="1"/>
        <v>28800</v>
      </c>
      <c r="I12" s="70">
        <f t="shared" si="1"/>
        <v>30240</v>
      </c>
      <c r="J12" s="70">
        <f t="shared" si="1"/>
        <v>31752</v>
      </c>
      <c r="K12" s="70">
        <f t="shared" si="1"/>
        <v>33339.599999999999</v>
      </c>
    </row>
    <row r="13" spans="1:11">
      <c r="A13" s="69" t="s">
        <v>190</v>
      </c>
      <c r="B13" s="69" t="s">
        <v>392</v>
      </c>
      <c r="C13" s="69">
        <v>12</v>
      </c>
      <c r="D13" s="159">
        <v>5000</v>
      </c>
      <c r="E13" s="70">
        <f>$C13*$D13*E$4</f>
        <v>60000</v>
      </c>
      <c r="F13" s="70">
        <f t="shared" si="1"/>
        <v>63000</v>
      </c>
      <c r="G13" s="70">
        <f t="shared" si="1"/>
        <v>66150</v>
      </c>
      <c r="H13" s="70">
        <f t="shared" si="1"/>
        <v>72000</v>
      </c>
      <c r="I13" s="70">
        <f t="shared" si="1"/>
        <v>75600</v>
      </c>
      <c r="J13" s="70">
        <f t="shared" si="1"/>
        <v>79380</v>
      </c>
      <c r="K13" s="70">
        <f t="shared" si="1"/>
        <v>83349</v>
      </c>
    </row>
    <row r="14" spans="1:11">
      <c r="A14" s="69" t="s">
        <v>161</v>
      </c>
      <c r="B14" s="69" t="s">
        <v>392</v>
      </c>
      <c r="C14" s="69">
        <v>12</v>
      </c>
      <c r="D14" s="159">
        <v>10000</v>
      </c>
      <c r="E14" s="70">
        <f>$C14*$D14*E$4</f>
        <v>120000</v>
      </c>
      <c r="F14" s="70">
        <f t="shared" si="1"/>
        <v>126000</v>
      </c>
      <c r="G14" s="70">
        <f t="shared" si="1"/>
        <v>132300</v>
      </c>
      <c r="H14" s="70">
        <f t="shared" si="1"/>
        <v>144000</v>
      </c>
      <c r="I14" s="70">
        <f t="shared" si="1"/>
        <v>151200</v>
      </c>
      <c r="J14" s="70">
        <f t="shared" si="1"/>
        <v>158760</v>
      </c>
      <c r="K14" s="70">
        <f t="shared" si="1"/>
        <v>166698</v>
      </c>
    </row>
    <row r="15" spans="1:11">
      <c r="A15" s="69" t="s">
        <v>191</v>
      </c>
      <c r="B15" s="69" t="s">
        <v>392</v>
      </c>
      <c r="C15" s="69">
        <v>12</v>
      </c>
      <c r="D15" s="159">
        <v>5000</v>
      </c>
      <c r="E15" s="70">
        <f>$C15*$D15*E$4</f>
        <v>60000</v>
      </c>
      <c r="F15" s="70">
        <f t="shared" si="1"/>
        <v>63000</v>
      </c>
      <c r="G15" s="70">
        <f t="shared" si="1"/>
        <v>66150</v>
      </c>
      <c r="H15" s="70">
        <f t="shared" si="1"/>
        <v>72000</v>
      </c>
      <c r="I15" s="70">
        <f t="shared" si="1"/>
        <v>75600</v>
      </c>
      <c r="J15" s="70">
        <f t="shared" si="1"/>
        <v>79380</v>
      </c>
      <c r="K15" s="70">
        <f t="shared" si="1"/>
        <v>83349</v>
      </c>
    </row>
    <row r="16" spans="1:11">
      <c r="A16" s="69" t="s">
        <v>192</v>
      </c>
      <c r="B16" s="69" t="s">
        <v>393</v>
      </c>
      <c r="C16" s="69">
        <v>1</v>
      </c>
      <c r="D16" s="159">
        <v>100000</v>
      </c>
      <c r="E16" s="70">
        <f>$D16*E$4*$C16</f>
        <v>100000</v>
      </c>
      <c r="F16" s="70">
        <f t="shared" ref="F16:K19" si="2">$D16*F$4*$C16</f>
        <v>105000</v>
      </c>
      <c r="G16" s="70">
        <f t="shared" si="2"/>
        <v>110250</v>
      </c>
      <c r="H16" s="70">
        <f t="shared" si="2"/>
        <v>120000</v>
      </c>
      <c r="I16" s="70">
        <f t="shared" si="2"/>
        <v>126000</v>
      </c>
      <c r="J16" s="70">
        <f t="shared" si="2"/>
        <v>132300</v>
      </c>
      <c r="K16" s="70">
        <f t="shared" si="2"/>
        <v>138915</v>
      </c>
    </row>
    <row r="17" spans="1:20">
      <c r="A17" s="69"/>
      <c r="B17" s="69"/>
      <c r="C17" s="69"/>
      <c r="D17" s="159"/>
      <c r="E17" s="70">
        <f>$D17*E$4*$C17</f>
        <v>0</v>
      </c>
      <c r="F17" s="70">
        <f t="shared" si="2"/>
        <v>0</v>
      </c>
      <c r="G17" s="70">
        <f t="shared" si="2"/>
        <v>0</v>
      </c>
      <c r="H17" s="70">
        <f t="shared" si="2"/>
        <v>0</v>
      </c>
      <c r="I17" s="70">
        <f t="shared" si="2"/>
        <v>0</v>
      </c>
      <c r="J17" s="70">
        <f t="shared" si="2"/>
        <v>0</v>
      </c>
      <c r="K17" s="70">
        <f t="shared" si="2"/>
        <v>0</v>
      </c>
    </row>
    <row r="18" spans="1:20">
      <c r="A18" s="69"/>
      <c r="B18" s="69"/>
      <c r="C18" s="69"/>
      <c r="D18" s="159"/>
      <c r="E18" s="70">
        <f>$D18*E$4*$C18</f>
        <v>0</v>
      </c>
      <c r="F18" s="70">
        <f t="shared" si="2"/>
        <v>0</v>
      </c>
      <c r="G18" s="70">
        <f t="shared" si="2"/>
        <v>0</v>
      </c>
      <c r="H18" s="70">
        <f t="shared" si="2"/>
        <v>0</v>
      </c>
      <c r="I18" s="70">
        <f t="shared" si="2"/>
        <v>0</v>
      </c>
      <c r="J18" s="70">
        <f t="shared" si="2"/>
        <v>0</v>
      </c>
      <c r="K18" s="70">
        <f t="shared" si="2"/>
        <v>0</v>
      </c>
    </row>
    <row r="19" spans="1:20">
      <c r="A19" s="69"/>
      <c r="B19" s="69"/>
      <c r="C19" s="69"/>
      <c r="D19" s="70"/>
      <c r="E19" s="70">
        <f>$D19*E$4*$C19</f>
        <v>0</v>
      </c>
      <c r="F19" s="70">
        <f t="shared" si="2"/>
        <v>0</v>
      </c>
      <c r="G19" s="70">
        <f t="shared" si="2"/>
        <v>0</v>
      </c>
      <c r="H19" s="70">
        <f t="shared" si="2"/>
        <v>0</v>
      </c>
      <c r="I19" s="70">
        <f t="shared" si="2"/>
        <v>0</v>
      </c>
      <c r="J19" s="70">
        <f t="shared" si="2"/>
        <v>0</v>
      </c>
      <c r="K19" s="70">
        <f t="shared" si="2"/>
        <v>0</v>
      </c>
    </row>
    <row r="20" spans="1:20">
      <c r="A20" s="71" t="s">
        <v>131</v>
      </c>
      <c r="B20" s="71"/>
      <c r="C20" s="71"/>
      <c r="D20" s="87"/>
      <c r="E20" s="87">
        <f t="shared" ref="E20:K20" si="3">SUM(E8:E19)</f>
        <v>1288000</v>
      </c>
      <c r="F20" s="87">
        <f t="shared" si="3"/>
        <v>1352400</v>
      </c>
      <c r="G20" s="87">
        <f t="shared" si="3"/>
        <v>1420020</v>
      </c>
      <c r="H20" s="87">
        <f t="shared" si="3"/>
        <v>1545600</v>
      </c>
      <c r="I20" s="87">
        <f t="shared" si="3"/>
        <v>1622880</v>
      </c>
      <c r="J20" s="87">
        <f t="shared" si="3"/>
        <v>1704024</v>
      </c>
      <c r="K20" s="87">
        <f t="shared" si="3"/>
        <v>1789225.2000000002</v>
      </c>
    </row>
    <row r="25" spans="1:20">
      <c r="A25" s="1128"/>
      <c r="B25" s="1128"/>
      <c r="C25" s="1128"/>
      <c r="D25" s="1128"/>
      <c r="E25" s="1128"/>
      <c r="F25" s="1128"/>
      <c r="G25" s="1128"/>
      <c r="H25" s="1128"/>
      <c r="I25" s="1128"/>
      <c r="J25" s="1128"/>
      <c r="K25" s="1128"/>
      <c r="L25" s="1128"/>
      <c r="M25" s="1128"/>
      <c r="N25" s="1128"/>
      <c r="O25" s="1128"/>
    </row>
    <row r="26" spans="1:20" ht="18.75">
      <c r="A26" s="1129" t="s">
        <v>551</v>
      </c>
      <c r="B26" s="1129"/>
      <c r="C26" s="1129"/>
      <c r="D26" s="1129"/>
      <c r="E26" s="1129"/>
      <c r="F26" s="1129"/>
      <c r="G26" s="1129"/>
      <c r="H26" s="1129"/>
      <c r="I26" s="1129"/>
      <c r="J26" s="410"/>
      <c r="K26" s="410"/>
      <c r="L26" s="1073" t="s">
        <v>1993</v>
      </c>
      <c r="M26" s="1073"/>
      <c r="N26" s="1073"/>
      <c r="O26" s="1073"/>
      <c r="P26" s="1073"/>
      <c r="Q26" s="1073"/>
      <c r="R26" s="1073"/>
      <c r="S26" s="1073"/>
      <c r="T26" s="1073"/>
    </row>
    <row r="27" spans="1:20">
      <c r="A27" s="120"/>
      <c r="B27" s="120"/>
      <c r="C27" s="120"/>
      <c r="D27" s="120"/>
      <c r="E27" s="120"/>
      <c r="F27" s="120"/>
      <c r="G27" s="120"/>
      <c r="H27" s="120"/>
      <c r="I27" s="120"/>
      <c r="J27" s="120"/>
      <c r="K27" s="120"/>
      <c r="L27" s="120"/>
      <c r="M27" s="120"/>
      <c r="N27" s="120"/>
      <c r="O27" s="120"/>
    </row>
    <row r="28" spans="1:20">
      <c r="A28" s="68"/>
      <c r="B28" s="68"/>
      <c r="C28" s="1130" t="s">
        <v>195</v>
      </c>
      <c r="D28" s="1130"/>
      <c r="E28" s="1130"/>
      <c r="F28" s="1130"/>
      <c r="G28" s="1130"/>
      <c r="H28" s="1130"/>
      <c r="I28" s="1130"/>
      <c r="J28" s="68"/>
      <c r="N28" s="375"/>
      <c r="O28" s="375"/>
      <c r="P28" s="375"/>
      <c r="Q28" s="375"/>
      <c r="R28" s="375"/>
      <c r="S28" s="375"/>
    </row>
    <row r="29" spans="1:20">
      <c r="A29" s="139" t="s">
        <v>0</v>
      </c>
      <c r="B29" s="133"/>
      <c r="C29" s="47" t="s">
        <v>2</v>
      </c>
      <c r="D29" s="47" t="s">
        <v>3</v>
      </c>
      <c r="E29" s="47" t="s">
        <v>4</v>
      </c>
      <c r="F29" s="47" t="s">
        <v>5</v>
      </c>
      <c r="G29" s="47" t="s">
        <v>6</v>
      </c>
      <c r="H29" s="47" t="s">
        <v>170</v>
      </c>
      <c r="I29" s="47" t="s">
        <v>169</v>
      </c>
      <c r="J29" s="379"/>
      <c r="K29" s="380"/>
      <c r="L29" s="139" t="s">
        <v>0</v>
      </c>
      <c r="M29" s="133"/>
      <c r="N29" s="47" t="s">
        <v>2</v>
      </c>
      <c r="O29" s="47" t="s">
        <v>3</v>
      </c>
      <c r="P29" s="47" t="s">
        <v>4</v>
      </c>
      <c r="Q29" s="47" t="s">
        <v>5</v>
      </c>
      <c r="R29" s="47" t="s">
        <v>6</v>
      </c>
      <c r="S29" s="47" t="s">
        <v>170</v>
      </c>
      <c r="T29" s="47" t="s">
        <v>169</v>
      </c>
    </row>
    <row r="30" spans="1:20">
      <c r="A30" s="134" t="s">
        <v>197</v>
      </c>
      <c r="B30" s="69"/>
      <c r="C30" s="69"/>
      <c r="D30" s="69"/>
      <c r="E30" s="69"/>
      <c r="F30" s="69"/>
      <c r="G30" s="135"/>
      <c r="H30" s="135"/>
      <c r="I30" s="135"/>
      <c r="J30" s="381"/>
      <c r="K30" s="382"/>
      <c r="L30" s="134" t="s">
        <v>197</v>
      </c>
      <c r="M30" s="69"/>
      <c r="N30" s="69"/>
      <c r="O30" s="69"/>
      <c r="P30" s="69"/>
      <c r="Q30" s="69"/>
      <c r="R30" s="135"/>
      <c r="S30" s="135"/>
      <c r="T30" s="135"/>
    </row>
    <row r="31" spans="1:20">
      <c r="A31" s="134"/>
      <c r="B31" s="69"/>
      <c r="C31" s="69"/>
      <c r="D31" s="69"/>
      <c r="E31" s="69"/>
      <c r="F31" s="69"/>
      <c r="G31" s="135"/>
      <c r="H31" s="135"/>
      <c r="I31" s="135"/>
      <c r="J31" s="381"/>
      <c r="K31" s="382"/>
      <c r="L31" s="134"/>
      <c r="M31" s="69"/>
      <c r="N31" s="69"/>
      <c r="O31" s="69"/>
      <c r="P31" s="69"/>
      <c r="Q31" s="69"/>
      <c r="R31" s="135"/>
      <c r="S31" s="135"/>
      <c r="T31" s="135"/>
    </row>
    <row r="32" spans="1:20">
      <c r="A32" s="136"/>
      <c r="B32" s="136"/>
      <c r="C32" s="69"/>
      <c r="D32" s="69"/>
      <c r="E32" s="69"/>
      <c r="F32" s="69"/>
      <c r="G32" s="69"/>
      <c r="H32" s="69"/>
      <c r="I32" s="69"/>
      <c r="J32" s="381"/>
      <c r="K32" s="382"/>
      <c r="L32" s="136"/>
      <c r="M32" s="136"/>
      <c r="N32" s="69"/>
      <c r="O32" s="69"/>
      <c r="P32" s="69"/>
      <c r="Q32" s="69"/>
      <c r="R32" s="69"/>
      <c r="S32" s="69"/>
      <c r="T32" s="69"/>
    </row>
    <row r="33" spans="1:20">
      <c r="A33" s="137" t="s">
        <v>201</v>
      </c>
      <c r="B33" s="137"/>
      <c r="C33" s="69"/>
      <c r="D33" s="69"/>
      <c r="E33" s="69"/>
      <c r="F33" s="69"/>
      <c r="G33" s="69"/>
      <c r="H33" s="69"/>
      <c r="I33" s="69"/>
      <c r="J33" s="381"/>
      <c r="K33" s="382"/>
      <c r="L33" s="137" t="s">
        <v>201</v>
      </c>
      <c r="M33" s="137"/>
      <c r="N33" s="69"/>
      <c r="O33" s="69"/>
      <c r="P33" s="69"/>
      <c r="Q33" s="69"/>
      <c r="R33" s="69"/>
      <c r="S33" s="69"/>
      <c r="T33" s="69"/>
    </row>
    <row r="34" spans="1:20">
      <c r="A34" s="136" t="s">
        <v>198</v>
      </c>
      <c r="B34" s="136"/>
      <c r="C34" s="138">
        <f>'1.Project Cost and MOF old'!D5</f>
        <v>19004500</v>
      </c>
      <c r="D34" s="138">
        <f t="shared" ref="D34:I34" si="4">C37</f>
        <v>18402057.350000001</v>
      </c>
      <c r="E34" s="138">
        <f t="shared" si="4"/>
        <v>17799614.700000003</v>
      </c>
      <c r="F34" s="138">
        <f t="shared" si="4"/>
        <v>17197172.050000004</v>
      </c>
      <c r="G34" s="138">
        <f t="shared" si="4"/>
        <v>16594729.400000004</v>
      </c>
      <c r="H34" s="138">
        <f t="shared" si="4"/>
        <v>15992286.750000004</v>
      </c>
      <c r="I34" s="138">
        <f t="shared" si="4"/>
        <v>15389844.100000003</v>
      </c>
      <c r="J34" s="381"/>
      <c r="K34" s="382"/>
      <c r="L34" s="136" t="s">
        <v>198</v>
      </c>
      <c r="M34" s="136"/>
      <c r="N34" s="138">
        <f>C34</f>
        <v>19004500</v>
      </c>
      <c r="O34" s="138">
        <f t="shared" ref="O34:T34" si="5">N37</f>
        <v>17104050</v>
      </c>
      <c r="P34" s="138">
        <f t="shared" si="5"/>
        <v>15393645</v>
      </c>
      <c r="Q34" s="138">
        <f t="shared" si="5"/>
        <v>13854280.5</v>
      </c>
      <c r="R34" s="138">
        <f t="shared" si="5"/>
        <v>12468852.449999999</v>
      </c>
      <c r="S34" s="138">
        <f t="shared" si="5"/>
        <v>11221967.205</v>
      </c>
      <c r="T34" s="138">
        <f t="shared" si="5"/>
        <v>10099770.4845</v>
      </c>
    </row>
    <row r="35" spans="1:20">
      <c r="A35" s="136" t="s">
        <v>17</v>
      </c>
      <c r="B35" s="136"/>
      <c r="C35" s="138">
        <f t="shared" ref="C35:I35" si="6">$C$34*$B$71</f>
        <v>602442.65</v>
      </c>
      <c r="D35" s="138">
        <f t="shared" si="6"/>
        <v>602442.65</v>
      </c>
      <c r="E35" s="138">
        <f t="shared" si="6"/>
        <v>602442.65</v>
      </c>
      <c r="F35" s="138">
        <f t="shared" si="6"/>
        <v>602442.65</v>
      </c>
      <c r="G35" s="138">
        <f t="shared" si="6"/>
        <v>602442.65</v>
      </c>
      <c r="H35" s="138">
        <f t="shared" si="6"/>
        <v>602442.65</v>
      </c>
      <c r="I35" s="138">
        <f t="shared" si="6"/>
        <v>602442.65</v>
      </c>
      <c r="J35" s="381"/>
      <c r="K35" s="382"/>
      <c r="L35" s="136" t="s">
        <v>17</v>
      </c>
      <c r="M35" s="136"/>
      <c r="N35" s="138">
        <f t="shared" ref="N35:T35" si="7">N34*$C$71</f>
        <v>1900450</v>
      </c>
      <c r="O35" s="138">
        <f t="shared" si="7"/>
        <v>1710405</v>
      </c>
      <c r="P35" s="138">
        <f t="shared" si="7"/>
        <v>1539364.5</v>
      </c>
      <c r="Q35" s="138">
        <f t="shared" si="7"/>
        <v>1385428.05</v>
      </c>
      <c r="R35" s="138">
        <f t="shared" si="7"/>
        <v>1246885.2449999999</v>
      </c>
      <c r="S35" s="138">
        <f t="shared" si="7"/>
        <v>1122196.7205000001</v>
      </c>
      <c r="T35" s="138">
        <f t="shared" si="7"/>
        <v>1009977.0484500001</v>
      </c>
    </row>
    <row r="36" spans="1:20">
      <c r="A36" s="136" t="s">
        <v>199</v>
      </c>
      <c r="B36" s="136"/>
      <c r="C36" s="138">
        <f>C35</f>
        <v>602442.65</v>
      </c>
      <c r="D36" s="138">
        <f t="shared" ref="D36:I36" si="8">C36+D35</f>
        <v>1204885.3</v>
      </c>
      <c r="E36" s="138">
        <f t="shared" si="8"/>
        <v>1807327.9500000002</v>
      </c>
      <c r="F36" s="138">
        <f t="shared" si="8"/>
        <v>2409770.6</v>
      </c>
      <c r="G36" s="138">
        <f t="shared" si="8"/>
        <v>3012213.25</v>
      </c>
      <c r="H36" s="138">
        <f t="shared" si="8"/>
        <v>3614655.9</v>
      </c>
      <c r="I36" s="138">
        <f t="shared" si="8"/>
        <v>4217098.55</v>
      </c>
      <c r="J36" s="381"/>
      <c r="K36" s="382"/>
      <c r="L36" s="136" t="s">
        <v>199</v>
      </c>
      <c r="M36" s="136"/>
      <c r="N36" s="138">
        <f>N35</f>
        <v>1900450</v>
      </c>
      <c r="O36" s="138">
        <f t="shared" ref="O36:T36" si="9">N36+O35</f>
        <v>3610855</v>
      </c>
      <c r="P36" s="138">
        <f t="shared" si="9"/>
        <v>5150219.5</v>
      </c>
      <c r="Q36" s="138">
        <f t="shared" si="9"/>
        <v>6535647.5499999998</v>
      </c>
      <c r="R36" s="138">
        <f t="shared" si="9"/>
        <v>7782532.7949999999</v>
      </c>
      <c r="S36" s="138">
        <f t="shared" si="9"/>
        <v>8904729.5154999997</v>
      </c>
      <c r="T36" s="138">
        <f t="shared" si="9"/>
        <v>9914706.5639500003</v>
      </c>
    </row>
    <row r="37" spans="1:20">
      <c r="A37" s="136" t="s">
        <v>200</v>
      </c>
      <c r="B37" s="136"/>
      <c r="C37" s="138">
        <f t="shared" ref="C37:I37" si="10">C34-C35</f>
        <v>18402057.350000001</v>
      </c>
      <c r="D37" s="138">
        <f t="shared" si="10"/>
        <v>17799614.700000003</v>
      </c>
      <c r="E37" s="138">
        <f t="shared" si="10"/>
        <v>17197172.050000004</v>
      </c>
      <c r="F37" s="138">
        <f t="shared" si="10"/>
        <v>16594729.400000004</v>
      </c>
      <c r="G37" s="138">
        <f t="shared" si="10"/>
        <v>15992286.750000004</v>
      </c>
      <c r="H37" s="138">
        <f t="shared" si="10"/>
        <v>15389844.100000003</v>
      </c>
      <c r="I37" s="138">
        <f t="shared" si="10"/>
        <v>14787401.450000003</v>
      </c>
      <c r="J37" s="381"/>
      <c r="K37" s="382"/>
      <c r="L37" s="136" t="s">
        <v>200</v>
      </c>
      <c r="M37" s="136"/>
      <c r="N37" s="138">
        <f t="shared" ref="N37:T37" si="11">N34-N35</f>
        <v>17104050</v>
      </c>
      <c r="O37" s="138">
        <f t="shared" si="11"/>
        <v>15393645</v>
      </c>
      <c r="P37" s="138">
        <f t="shared" si="11"/>
        <v>13854280.5</v>
      </c>
      <c r="Q37" s="138">
        <f t="shared" si="11"/>
        <v>12468852.449999999</v>
      </c>
      <c r="R37" s="138">
        <f t="shared" si="11"/>
        <v>11221967.205</v>
      </c>
      <c r="S37" s="138">
        <f t="shared" si="11"/>
        <v>10099770.4845</v>
      </c>
      <c r="T37" s="138">
        <f t="shared" si="11"/>
        <v>9089793.4360499997</v>
      </c>
    </row>
    <row r="38" spans="1:20">
      <c r="A38" s="136"/>
      <c r="B38" s="136"/>
      <c r="C38" s="138"/>
      <c r="D38" s="138"/>
      <c r="E38" s="138"/>
      <c r="F38" s="138"/>
      <c r="G38" s="138"/>
      <c r="H38" s="138"/>
      <c r="I38" s="138"/>
      <c r="J38" s="381"/>
      <c r="K38" s="382"/>
      <c r="L38" s="136"/>
      <c r="M38" s="136"/>
      <c r="N38" s="138"/>
      <c r="O38" s="138"/>
      <c r="P38" s="138"/>
      <c r="Q38" s="138"/>
      <c r="R38" s="138"/>
      <c r="S38" s="138"/>
      <c r="T38" s="138"/>
    </row>
    <row r="39" spans="1:20">
      <c r="A39" s="137" t="s">
        <v>202</v>
      </c>
      <c r="B39" s="137"/>
      <c r="C39" s="138"/>
      <c r="D39" s="138"/>
      <c r="E39" s="138"/>
      <c r="F39" s="138"/>
      <c r="G39" s="138"/>
      <c r="H39" s="138"/>
      <c r="I39" s="138"/>
      <c r="J39" s="381"/>
      <c r="K39" s="382"/>
      <c r="L39" s="137" t="s">
        <v>202</v>
      </c>
      <c r="M39" s="137"/>
      <c r="N39" s="138"/>
      <c r="O39" s="138"/>
      <c r="P39" s="138"/>
      <c r="Q39" s="138"/>
      <c r="R39" s="138"/>
      <c r="S39" s="138"/>
      <c r="T39" s="138"/>
    </row>
    <row r="40" spans="1:20">
      <c r="A40" s="136" t="s">
        <v>198</v>
      </c>
      <c r="B40" s="136"/>
      <c r="C40" s="138">
        <f>'1.Project Cost and MOF old'!D6</f>
        <v>18127932.961199999</v>
      </c>
      <c r="D40" s="138">
        <f t="shared" ref="D40:I40" si="12">C43</f>
        <v>16980434.804756038</v>
      </c>
      <c r="E40" s="138">
        <f t="shared" si="12"/>
        <v>15832936.648312079</v>
      </c>
      <c r="F40" s="138">
        <f t="shared" si="12"/>
        <v>14685438.49186812</v>
      </c>
      <c r="G40" s="138">
        <f t="shared" si="12"/>
        <v>13537940.335424161</v>
      </c>
      <c r="H40" s="138">
        <f t="shared" si="12"/>
        <v>12390442.178980201</v>
      </c>
      <c r="I40" s="138">
        <f t="shared" si="12"/>
        <v>11242944.022536242</v>
      </c>
      <c r="J40" s="381"/>
      <c r="K40" s="382"/>
      <c r="L40" s="136" t="s">
        <v>198</v>
      </c>
      <c r="M40" s="136"/>
      <c r="N40" s="138">
        <f>C40</f>
        <v>18127932.961199999</v>
      </c>
      <c r="O40" s="138">
        <f t="shared" ref="O40:T40" si="13">N43</f>
        <v>15408743.017019998</v>
      </c>
      <c r="P40" s="138">
        <f t="shared" si="13"/>
        <v>13097431.564466998</v>
      </c>
      <c r="Q40" s="138">
        <f t="shared" si="13"/>
        <v>11132816.829796948</v>
      </c>
      <c r="R40" s="138">
        <f t="shared" si="13"/>
        <v>9462894.3053274062</v>
      </c>
      <c r="S40" s="138">
        <f t="shared" si="13"/>
        <v>8043460.1595282955</v>
      </c>
      <c r="T40" s="138">
        <f t="shared" si="13"/>
        <v>6836941.1355990507</v>
      </c>
    </row>
    <row r="41" spans="1:20">
      <c r="A41" s="136" t="s">
        <v>17</v>
      </c>
      <c r="B41" s="136"/>
      <c r="C41" s="138">
        <f t="shared" ref="C41:I41" si="14">$C$40*$B$75</f>
        <v>1147498.1564439598</v>
      </c>
      <c r="D41" s="138">
        <f t="shared" si="14"/>
        <v>1147498.1564439598</v>
      </c>
      <c r="E41" s="138">
        <f t="shared" si="14"/>
        <v>1147498.1564439598</v>
      </c>
      <c r="F41" s="138">
        <f t="shared" si="14"/>
        <v>1147498.1564439598</v>
      </c>
      <c r="G41" s="138">
        <f t="shared" si="14"/>
        <v>1147498.1564439598</v>
      </c>
      <c r="H41" s="138">
        <f t="shared" si="14"/>
        <v>1147498.1564439598</v>
      </c>
      <c r="I41" s="138">
        <f t="shared" si="14"/>
        <v>1147498.1564439598</v>
      </c>
      <c r="J41" s="381"/>
      <c r="K41" s="382"/>
      <c r="L41" s="136" t="s">
        <v>17</v>
      </c>
      <c r="M41" s="136"/>
      <c r="N41" s="138">
        <f t="shared" ref="N41:T41" si="15">N40*$C$75</f>
        <v>2719189.9441799996</v>
      </c>
      <c r="O41" s="138">
        <f t="shared" si="15"/>
        <v>2311311.4525529998</v>
      </c>
      <c r="P41" s="138">
        <f t="shared" si="15"/>
        <v>1964614.7346700495</v>
      </c>
      <c r="Q41" s="138">
        <f t="shared" si="15"/>
        <v>1669922.5244695421</v>
      </c>
      <c r="R41" s="138">
        <f t="shared" si="15"/>
        <v>1419434.1457991109</v>
      </c>
      <c r="S41" s="138">
        <f t="shared" si="15"/>
        <v>1206519.0239292444</v>
      </c>
      <c r="T41" s="138">
        <f t="shared" si="15"/>
        <v>1025541.1703398576</v>
      </c>
    </row>
    <row r="42" spans="1:20">
      <c r="A42" s="136" t="s">
        <v>199</v>
      </c>
      <c r="B42" s="136"/>
      <c r="C42" s="138">
        <f>C41</f>
        <v>1147498.1564439598</v>
      </c>
      <c r="D42" s="138">
        <f t="shared" ref="D42:I42" si="16">C42+D41</f>
        <v>2294996.3128879196</v>
      </c>
      <c r="E42" s="138">
        <f t="shared" si="16"/>
        <v>3442494.4693318792</v>
      </c>
      <c r="F42" s="138">
        <f t="shared" si="16"/>
        <v>4589992.6257758392</v>
      </c>
      <c r="G42" s="138">
        <f t="shared" si="16"/>
        <v>5737490.7822197992</v>
      </c>
      <c r="H42" s="138">
        <f t="shared" si="16"/>
        <v>6884988.9386637593</v>
      </c>
      <c r="I42" s="138">
        <f t="shared" si="16"/>
        <v>8032487.0951077193</v>
      </c>
      <c r="J42" s="381"/>
      <c r="K42" s="382"/>
      <c r="L42" s="136" t="s">
        <v>199</v>
      </c>
      <c r="M42" s="136"/>
      <c r="N42" s="138">
        <f>N41</f>
        <v>2719189.9441799996</v>
      </c>
      <c r="O42" s="138">
        <f t="shared" ref="O42:T42" si="17">N42+O41</f>
        <v>5030501.396732999</v>
      </c>
      <c r="P42" s="138">
        <f t="shared" si="17"/>
        <v>6995116.1314030485</v>
      </c>
      <c r="Q42" s="138">
        <f t="shared" si="17"/>
        <v>8665038.6558725908</v>
      </c>
      <c r="R42" s="138">
        <f t="shared" si="17"/>
        <v>10084472.801671702</v>
      </c>
      <c r="S42" s="138">
        <f t="shared" si="17"/>
        <v>11290991.825600946</v>
      </c>
      <c r="T42" s="138">
        <f t="shared" si="17"/>
        <v>12316532.995940804</v>
      </c>
    </row>
    <row r="43" spans="1:20">
      <c r="A43" s="136" t="s">
        <v>200</v>
      </c>
      <c r="B43" s="136"/>
      <c r="C43" s="138">
        <f t="shared" ref="C43:I43" si="18">C40-C41</f>
        <v>16980434.804756038</v>
      </c>
      <c r="D43" s="138">
        <f t="shared" si="18"/>
        <v>15832936.648312079</v>
      </c>
      <c r="E43" s="138">
        <f t="shared" si="18"/>
        <v>14685438.49186812</v>
      </c>
      <c r="F43" s="138">
        <f t="shared" si="18"/>
        <v>13537940.335424161</v>
      </c>
      <c r="G43" s="138">
        <f t="shared" si="18"/>
        <v>12390442.178980201</v>
      </c>
      <c r="H43" s="138">
        <f t="shared" si="18"/>
        <v>11242944.022536242</v>
      </c>
      <c r="I43" s="138">
        <f t="shared" si="18"/>
        <v>10095445.866092283</v>
      </c>
      <c r="J43" s="381"/>
      <c r="K43" s="382"/>
      <c r="L43" s="136" t="s">
        <v>200</v>
      </c>
      <c r="M43" s="136"/>
      <c r="N43" s="138">
        <f t="shared" ref="N43:T43" si="19">N40-N41</f>
        <v>15408743.017019998</v>
      </c>
      <c r="O43" s="138">
        <f t="shared" si="19"/>
        <v>13097431.564466998</v>
      </c>
      <c r="P43" s="138">
        <f t="shared" si="19"/>
        <v>11132816.829796948</v>
      </c>
      <c r="Q43" s="138">
        <f t="shared" si="19"/>
        <v>9462894.3053274062</v>
      </c>
      <c r="R43" s="138">
        <f t="shared" si="19"/>
        <v>8043460.1595282955</v>
      </c>
      <c r="S43" s="138">
        <f t="shared" si="19"/>
        <v>6836941.1355990507</v>
      </c>
      <c r="T43" s="138">
        <f t="shared" si="19"/>
        <v>5811399.9652591934</v>
      </c>
    </row>
    <row r="44" spans="1:20">
      <c r="A44" s="136"/>
      <c r="B44" s="136"/>
      <c r="C44" s="138"/>
      <c r="D44" s="138"/>
      <c r="E44" s="138"/>
      <c r="F44" s="138"/>
      <c r="G44" s="138"/>
      <c r="H44" s="138"/>
      <c r="I44" s="138"/>
      <c r="J44" s="381"/>
      <c r="K44" s="382"/>
      <c r="L44" s="136"/>
      <c r="M44" s="136"/>
      <c r="N44" s="138"/>
      <c r="O44" s="138"/>
      <c r="P44" s="138"/>
      <c r="Q44" s="138"/>
      <c r="R44" s="138"/>
      <c r="S44" s="138"/>
      <c r="T44" s="138"/>
    </row>
    <row r="45" spans="1:20">
      <c r="A45" s="137" t="s">
        <v>203</v>
      </c>
      <c r="B45" s="137"/>
      <c r="C45" s="138"/>
      <c r="D45" s="138"/>
      <c r="E45" s="138"/>
      <c r="F45" s="138"/>
      <c r="G45" s="138"/>
      <c r="H45" s="138"/>
      <c r="I45" s="138"/>
      <c r="J45" s="381"/>
      <c r="K45" s="382"/>
      <c r="L45" s="137" t="s">
        <v>203</v>
      </c>
      <c r="M45" s="137"/>
      <c r="N45" s="138"/>
      <c r="O45" s="138"/>
      <c r="P45" s="138"/>
      <c r="Q45" s="138"/>
      <c r="R45" s="138"/>
      <c r="S45" s="138"/>
      <c r="T45" s="138"/>
    </row>
    <row r="46" spans="1:20">
      <c r="A46" s="136" t="s">
        <v>198</v>
      </c>
      <c r="B46" s="136"/>
      <c r="C46" s="138">
        <f>'1.Project Cost and MOF old'!D7</f>
        <v>0</v>
      </c>
      <c r="D46" s="138">
        <f t="shared" ref="D46:I46" si="20">C49</f>
        <v>0</v>
      </c>
      <c r="E46" s="138">
        <f t="shared" si="20"/>
        <v>0</v>
      </c>
      <c r="F46" s="138">
        <f t="shared" si="20"/>
        <v>0</v>
      </c>
      <c r="G46" s="138">
        <f t="shared" si="20"/>
        <v>0</v>
      </c>
      <c r="H46" s="138">
        <f t="shared" si="20"/>
        <v>0</v>
      </c>
      <c r="I46" s="138">
        <f t="shared" si="20"/>
        <v>0</v>
      </c>
      <c r="J46" s="381"/>
      <c r="K46" s="382"/>
      <c r="L46" s="136" t="s">
        <v>198</v>
      </c>
      <c r="M46" s="136"/>
      <c r="N46" s="138">
        <f>C46</f>
        <v>0</v>
      </c>
      <c r="O46" s="138">
        <f t="shared" ref="O46:T46" si="21">N49</f>
        <v>0</v>
      </c>
      <c r="P46" s="138">
        <f t="shared" si="21"/>
        <v>0</v>
      </c>
      <c r="Q46" s="138">
        <f t="shared" si="21"/>
        <v>0</v>
      </c>
      <c r="R46" s="138">
        <f t="shared" si="21"/>
        <v>0</v>
      </c>
      <c r="S46" s="138">
        <f t="shared" si="21"/>
        <v>0</v>
      </c>
      <c r="T46" s="138">
        <f t="shared" si="21"/>
        <v>0</v>
      </c>
    </row>
    <row r="47" spans="1:20">
      <c r="A47" s="136" t="s">
        <v>17</v>
      </c>
      <c r="B47" s="136"/>
      <c r="C47" s="138">
        <f t="shared" ref="C47:I47" si="22">$C$46*$B$72</f>
        <v>0</v>
      </c>
      <c r="D47" s="138">
        <f t="shared" si="22"/>
        <v>0</v>
      </c>
      <c r="E47" s="138">
        <f t="shared" si="22"/>
        <v>0</v>
      </c>
      <c r="F47" s="138">
        <f t="shared" si="22"/>
        <v>0</v>
      </c>
      <c r="G47" s="138">
        <f t="shared" si="22"/>
        <v>0</v>
      </c>
      <c r="H47" s="138">
        <f t="shared" si="22"/>
        <v>0</v>
      </c>
      <c r="I47" s="138">
        <f t="shared" si="22"/>
        <v>0</v>
      </c>
      <c r="J47" s="381"/>
      <c r="K47" s="382"/>
      <c r="L47" s="136" t="s">
        <v>17</v>
      </c>
      <c r="M47" s="136"/>
      <c r="N47" s="138">
        <f t="shared" ref="N47:T47" si="23">N46*$C$72</f>
        <v>0</v>
      </c>
      <c r="O47" s="138">
        <f t="shared" si="23"/>
        <v>0</v>
      </c>
      <c r="P47" s="138">
        <f t="shared" si="23"/>
        <v>0</v>
      </c>
      <c r="Q47" s="138">
        <f t="shared" si="23"/>
        <v>0</v>
      </c>
      <c r="R47" s="138">
        <f t="shared" si="23"/>
        <v>0</v>
      </c>
      <c r="S47" s="138">
        <f t="shared" si="23"/>
        <v>0</v>
      </c>
      <c r="T47" s="138">
        <f t="shared" si="23"/>
        <v>0</v>
      </c>
    </row>
    <row r="48" spans="1:20">
      <c r="A48" s="136" t="s">
        <v>199</v>
      </c>
      <c r="B48" s="136"/>
      <c r="C48" s="138">
        <f>C47</f>
        <v>0</v>
      </c>
      <c r="D48" s="138">
        <f t="shared" ref="D48:I48" si="24">C48+D47</f>
        <v>0</v>
      </c>
      <c r="E48" s="138">
        <f t="shared" si="24"/>
        <v>0</v>
      </c>
      <c r="F48" s="138">
        <f t="shared" si="24"/>
        <v>0</v>
      </c>
      <c r="G48" s="138">
        <f t="shared" si="24"/>
        <v>0</v>
      </c>
      <c r="H48" s="138">
        <f t="shared" si="24"/>
        <v>0</v>
      </c>
      <c r="I48" s="138">
        <f t="shared" si="24"/>
        <v>0</v>
      </c>
      <c r="J48" s="381"/>
      <c r="K48" s="382"/>
      <c r="L48" s="136" t="s">
        <v>199</v>
      </c>
      <c r="M48" s="136"/>
      <c r="N48" s="138">
        <f>N47</f>
        <v>0</v>
      </c>
      <c r="O48" s="138">
        <f t="shared" ref="O48:T48" si="25">N48+O47</f>
        <v>0</v>
      </c>
      <c r="P48" s="138">
        <f t="shared" si="25"/>
        <v>0</v>
      </c>
      <c r="Q48" s="138">
        <f t="shared" si="25"/>
        <v>0</v>
      </c>
      <c r="R48" s="138">
        <f t="shared" si="25"/>
        <v>0</v>
      </c>
      <c r="S48" s="138">
        <f t="shared" si="25"/>
        <v>0</v>
      </c>
      <c r="T48" s="138">
        <f t="shared" si="25"/>
        <v>0</v>
      </c>
    </row>
    <row r="49" spans="1:20">
      <c r="A49" s="136" t="s">
        <v>200</v>
      </c>
      <c r="B49" s="136"/>
      <c r="C49" s="138">
        <f t="shared" ref="C49:I49" si="26">C46-C47</f>
        <v>0</v>
      </c>
      <c r="D49" s="138">
        <f t="shared" si="26"/>
        <v>0</v>
      </c>
      <c r="E49" s="138">
        <f t="shared" si="26"/>
        <v>0</v>
      </c>
      <c r="F49" s="138">
        <f t="shared" si="26"/>
        <v>0</v>
      </c>
      <c r="G49" s="138">
        <f t="shared" si="26"/>
        <v>0</v>
      </c>
      <c r="H49" s="138">
        <f t="shared" si="26"/>
        <v>0</v>
      </c>
      <c r="I49" s="138">
        <f t="shared" si="26"/>
        <v>0</v>
      </c>
      <c r="J49" s="381"/>
      <c r="K49" s="382"/>
      <c r="L49" s="136" t="s">
        <v>200</v>
      </c>
      <c r="M49" s="136"/>
      <c r="N49" s="138">
        <f t="shared" ref="N49:T49" si="27">N46-N47</f>
        <v>0</v>
      </c>
      <c r="O49" s="138">
        <f t="shared" si="27"/>
        <v>0</v>
      </c>
      <c r="P49" s="138">
        <f t="shared" si="27"/>
        <v>0</v>
      </c>
      <c r="Q49" s="138">
        <f t="shared" si="27"/>
        <v>0</v>
      </c>
      <c r="R49" s="138">
        <f t="shared" si="27"/>
        <v>0</v>
      </c>
      <c r="S49" s="138">
        <f t="shared" si="27"/>
        <v>0</v>
      </c>
      <c r="T49" s="138">
        <f t="shared" si="27"/>
        <v>0</v>
      </c>
    </row>
    <row r="50" spans="1:20">
      <c r="A50" s="136"/>
      <c r="B50" s="136"/>
      <c r="C50" s="138"/>
      <c r="D50" s="138"/>
      <c r="E50" s="138"/>
      <c r="F50" s="138"/>
      <c r="G50" s="138"/>
      <c r="H50" s="138"/>
      <c r="I50" s="138"/>
      <c r="J50" s="381"/>
      <c r="K50" s="382"/>
      <c r="L50" s="136"/>
      <c r="M50" s="136"/>
      <c r="N50" s="138"/>
      <c r="O50" s="138"/>
      <c r="P50" s="138"/>
      <c r="Q50" s="138"/>
      <c r="R50" s="138"/>
      <c r="S50" s="138"/>
      <c r="T50" s="138"/>
    </row>
    <row r="51" spans="1:20">
      <c r="A51" s="137" t="s">
        <v>160</v>
      </c>
      <c r="B51" s="137"/>
      <c r="C51" s="138"/>
      <c r="D51" s="138"/>
      <c r="E51" s="138"/>
      <c r="F51" s="138"/>
      <c r="G51" s="138"/>
      <c r="H51" s="138"/>
      <c r="I51" s="138"/>
      <c r="J51" s="381"/>
      <c r="K51" s="382"/>
      <c r="L51" s="137" t="s">
        <v>160</v>
      </c>
      <c r="M51" s="137"/>
      <c r="N51" s="138"/>
      <c r="O51" s="138"/>
      <c r="P51" s="138"/>
      <c r="Q51" s="138"/>
      <c r="R51" s="138"/>
      <c r="S51" s="138"/>
      <c r="T51" s="138"/>
    </row>
    <row r="52" spans="1:20">
      <c r="A52" s="136" t="s">
        <v>198</v>
      </c>
      <c r="B52" s="136"/>
      <c r="C52" s="138">
        <f>'1.Project Cost and MOF old'!D9</f>
        <v>0</v>
      </c>
      <c r="D52" s="138">
        <f t="shared" ref="D52:I52" si="28">C55</f>
        <v>0</v>
      </c>
      <c r="E52" s="138">
        <f t="shared" si="28"/>
        <v>0</v>
      </c>
      <c r="F52" s="138">
        <f t="shared" si="28"/>
        <v>0</v>
      </c>
      <c r="G52" s="138">
        <f t="shared" si="28"/>
        <v>0</v>
      </c>
      <c r="H52" s="138">
        <f t="shared" si="28"/>
        <v>0</v>
      </c>
      <c r="I52" s="138">
        <f t="shared" si="28"/>
        <v>0</v>
      </c>
      <c r="J52" s="381"/>
      <c r="K52" s="382"/>
      <c r="L52" s="136" t="s">
        <v>198</v>
      </c>
      <c r="M52" s="136"/>
      <c r="N52" s="138">
        <f>C52</f>
        <v>0</v>
      </c>
      <c r="O52" s="138">
        <f t="shared" ref="O52:T52" si="29">N55</f>
        <v>0</v>
      </c>
      <c r="P52" s="138">
        <f t="shared" si="29"/>
        <v>0</v>
      </c>
      <c r="Q52" s="138">
        <f t="shared" si="29"/>
        <v>0</v>
      </c>
      <c r="R52" s="138">
        <f t="shared" si="29"/>
        <v>0</v>
      </c>
      <c r="S52" s="138">
        <f t="shared" si="29"/>
        <v>0</v>
      </c>
      <c r="T52" s="138">
        <f t="shared" si="29"/>
        <v>0</v>
      </c>
    </row>
    <row r="53" spans="1:20">
      <c r="A53" s="136" t="s">
        <v>17</v>
      </c>
      <c r="B53" s="136"/>
      <c r="C53" s="138">
        <f t="shared" ref="C53:I53" si="30">$C$52*$B$74</f>
        <v>0</v>
      </c>
      <c r="D53" s="138">
        <f t="shared" si="30"/>
        <v>0</v>
      </c>
      <c r="E53" s="138">
        <f t="shared" si="30"/>
        <v>0</v>
      </c>
      <c r="F53" s="138">
        <f t="shared" si="30"/>
        <v>0</v>
      </c>
      <c r="G53" s="138">
        <f t="shared" si="30"/>
        <v>0</v>
      </c>
      <c r="H53" s="138">
        <f t="shared" si="30"/>
        <v>0</v>
      </c>
      <c r="I53" s="138">
        <f t="shared" si="30"/>
        <v>0</v>
      </c>
      <c r="J53" s="381"/>
      <c r="K53" s="382"/>
      <c r="L53" s="136" t="s">
        <v>17</v>
      </c>
      <c r="M53" s="136"/>
      <c r="N53" s="138">
        <f t="shared" ref="N53:T53" si="31">N52*$C$74</f>
        <v>0</v>
      </c>
      <c r="O53" s="138">
        <f t="shared" si="31"/>
        <v>0</v>
      </c>
      <c r="P53" s="138">
        <f t="shared" si="31"/>
        <v>0</v>
      </c>
      <c r="Q53" s="138">
        <f t="shared" si="31"/>
        <v>0</v>
      </c>
      <c r="R53" s="138">
        <f t="shared" si="31"/>
        <v>0</v>
      </c>
      <c r="S53" s="138">
        <f t="shared" si="31"/>
        <v>0</v>
      </c>
      <c r="T53" s="138">
        <f t="shared" si="31"/>
        <v>0</v>
      </c>
    </row>
    <row r="54" spans="1:20">
      <c r="A54" s="136" t="s">
        <v>199</v>
      </c>
      <c r="B54" s="136"/>
      <c r="C54" s="138">
        <f>C53</f>
        <v>0</v>
      </c>
      <c r="D54" s="138">
        <f t="shared" ref="D54:I54" si="32">C54+D53</f>
        <v>0</v>
      </c>
      <c r="E54" s="138">
        <f t="shared" si="32"/>
        <v>0</v>
      </c>
      <c r="F54" s="138">
        <f t="shared" si="32"/>
        <v>0</v>
      </c>
      <c r="G54" s="138">
        <f t="shared" si="32"/>
        <v>0</v>
      </c>
      <c r="H54" s="138">
        <f t="shared" si="32"/>
        <v>0</v>
      </c>
      <c r="I54" s="138">
        <f t="shared" si="32"/>
        <v>0</v>
      </c>
      <c r="J54" s="381"/>
      <c r="K54" s="382"/>
      <c r="L54" s="136" t="s">
        <v>199</v>
      </c>
      <c r="M54" s="136"/>
      <c r="N54" s="138">
        <f>N53</f>
        <v>0</v>
      </c>
      <c r="O54" s="138">
        <f t="shared" ref="O54:T54" si="33">N54+O53</f>
        <v>0</v>
      </c>
      <c r="P54" s="138">
        <f t="shared" si="33"/>
        <v>0</v>
      </c>
      <c r="Q54" s="138">
        <f t="shared" si="33"/>
        <v>0</v>
      </c>
      <c r="R54" s="138">
        <f t="shared" si="33"/>
        <v>0</v>
      </c>
      <c r="S54" s="138">
        <f t="shared" si="33"/>
        <v>0</v>
      </c>
      <c r="T54" s="138">
        <f t="shared" si="33"/>
        <v>0</v>
      </c>
    </row>
    <row r="55" spans="1:20">
      <c r="A55" s="136" t="s">
        <v>200</v>
      </c>
      <c r="B55" s="136"/>
      <c r="C55" s="138">
        <f t="shared" ref="C55:I55" si="34">C52-C53</f>
        <v>0</v>
      </c>
      <c r="D55" s="138">
        <f t="shared" si="34"/>
        <v>0</v>
      </c>
      <c r="E55" s="138">
        <f t="shared" si="34"/>
        <v>0</v>
      </c>
      <c r="F55" s="138">
        <f t="shared" si="34"/>
        <v>0</v>
      </c>
      <c r="G55" s="138">
        <f t="shared" si="34"/>
        <v>0</v>
      </c>
      <c r="H55" s="138">
        <f t="shared" si="34"/>
        <v>0</v>
      </c>
      <c r="I55" s="138">
        <f t="shared" si="34"/>
        <v>0</v>
      </c>
      <c r="J55" s="381"/>
      <c r="K55" s="382"/>
      <c r="L55" s="136" t="s">
        <v>200</v>
      </c>
      <c r="M55" s="136"/>
      <c r="N55" s="138">
        <f t="shared" ref="N55:T55" si="35">N52-N53</f>
        <v>0</v>
      </c>
      <c r="O55" s="138">
        <f t="shared" si="35"/>
        <v>0</v>
      </c>
      <c r="P55" s="138">
        <f t="shared" si="35"/>
        <v>0</v>
      </c>
      <c r="Q55" s="138">
        <f t="shared" si="35"/>
        <v>0</v>
      </c>
      <c r="R55" s="138">
        <f t="shared" si="35"/>
        <v>0</v>
      </c>
      <c r="S55" s="138">
        <f t="shared" si="35"/>
        <v>0</v>
      </c>
      <c r="T55" s="138">
        <f t="shared" si="35"/>
        <v>0</v>
      </c>
    </row>
    <row r="56" spans="1:20">
      <c r="A56" s="136"/>
      <c r="B56" s="136"/>
      <c r="C56" s="138"/>
      <c r="D56" s="138"/>
      <c r="E56" s="138"/>
      <c r="F56" s="138"/>
      <c r="G56" s="138"/>
      <c r="H56" s="138"/>
      <c r="I56" s="138"/>
      <c r="J56" s="381"/>
      <c r="K56" s="382"/>
      <c r="L56" s="136"/>
      <c r="M56" s="136"/>
      <c r="N56" s="138"/>
      <c r="O56" s="138"/>
      <c r="P56" s="138"/>
      <c r="Q56" s="138"/>
      <c r="R56" s="138"/>
      <c r="S56" s="138"/>
      <c r="T56" s="138"/>
    </row>
    <row r="57" spans="1:20">
      <c r="A57" s="240" t="s">
        <v>335</v>
      </c>
      <c r="B57" s="136"/>
      <c r="C57" s="138"/>
      <c r="D57" s="138"/>
      <c r="E57" s="138"/>
      <c r="F57" s="138"/>
      <c r="G57" s="138"/>
      <c r="H57" s="138"/>
      <c r="I57" s="138"/>
      <c r="J57" s="381"/>
      <c r="K57" s="382"/>
      <c r="L57" s="240" t="s">
        <v>335</v>
      </c>
      <c r="M57" s="136"/>
      <c r="N57" s="138"/>
      <c r="O57" s="138"/>
      <c r="P57" s="138"/>
      <c r="Q57" s="138"/>
      <c r="R57" s="138"/>
      <c r="S57" s="138"/>
      <c r="T57" s="138"/>
    </row>
    <row r="58" spans="1:20">
      <c r="A58" s="136" t="str">
        <f>A52</f>
        <v>Asset Value</v>
      </c>
      <c r="B58" s="136"/>
      <c r="C58" s="138">
        <f>'1.Project Cost and MOF old'!D8</f>
        <v>0</v>
      </c>
      <c r="D58" s="138">
        <f t="shared" ref="D58:I58" si="36">C61</f>
        <v>0</v>
      </c>
      <c r="E58" s="138">
        <f t="shared" si="36"/>
        <v>0</v>
      </c>
      <c r="F58" s="138">
        <f t="shared" si="36"/>
        <v>0</v>
      </c>
      <c r="G58" s="138">
        <f t="shared" si="36"/>
        <v>0</v>
      </c>
      <c r="H58" s="138">
        <f t="shared" si="36"/>
        <v>0</v>
      </c>
      <c r="I58" s="138">
        <f t="shared" si="36"/>
        <v>0</v>
      </c>
      <c r="J58" s="381"/>
      <c r="K58" s="382"/>
      <c r="L58" s="136" t="str">
        <f>L52</f>
        <v>Asset Value</v>
      </c>
      <c r="M58" s="136"/>
      <c r="N58" s="138">
        <f>C58</f>
        <v>0</v>
      </c>
      <c r="O58" s="138">
        <f t="shared" ref="O58:T58" si="37">N61</f>
        <v>0</v>
      </c>
      <c r="P58" s="138">
        <f t="shared" si="37"/>
        <v>0</v>
      </c>
      <c r="Q58" s="138">
        <f t="shared" si="37"/>
        <v>0</v>
      </c>
      <c r="R58" s="138">
        <f t="shared" si="37"/>
        <v>0</v>
      </c>
      <c r="S58" s="138">
        <f t="shared" si="37"/>
        <v>0</v>
      </c>
      <c r="T58" s="138">
        <f t="shared" si="37"/>
        <v>0</v>
      </c>
    </row>
    <row r="59" spans="1:20">
      <c r="A59" s="136" t="str">
        <f>A53</f>
        <v>Depreciation</v>
      </c>
      <c r="B59" s="136"/>
      <c r="C59" s="138">
        <f t="shared" ref="C59:I59" si="38">$C$58*$B$73</f>
        <v>0</v>
      </c>
      <c r="D59" s="138">
        <f t="shared" si="38"/>
        <v>0</v>
      </c>
      <c r="E59" s="138">
        <f t="shared" si="38"/>
        <v>0</v>
      </c>
      <c r="F59" s="138">
        <f t="shared" si="38"/>
        <v>0</v>
      </c>
      <c r="G59" s="138">
        <f t="shared" si="38"/>
        <v>0</v>
      </c>
      <c r="H59" s="138">
        <f t="shared" si="38"/>
        <v>0</v>
      </c>
      <c r="I59" s="138">
        <f t="shared" si="38"/>
        <v>0</v>
      </c>
      <c r="J59" s="381"/>
      <c r="K59" s="382"/>
      <c r="L59" s="136" t="str">
        <f>L53</f>
        <v>Depreciation</v>
      </c>
      <c r="M59" s="136"/>
      <c r="N59" s="138">
        <f t="shared" ref="N59:T59" si="39">N58*$C$73</f>
        <v>0</v>
      </c>
      <c r="O59" s="138">
        <f t="shared" si="39"/>
        <v>0</v>
      </c>
      <c r="P59" s="138">
        <f t="shared" si="39"/>
        <v>0</v>
      </c>
      <c r="Q59" s="138">
        <f t="shared" si="39"/>
        <v>0</v>
      </c>
      <c r="R59" s="138">
        <f t="shared" si="39"/>
        <v>0</v>
      </c>
      <c r="S59" s="138">
        <f t="shared" si="39"/>
        <v>0</v>
      </c>
      <c r="T59" s="138">
        <f t="shared" si="39"/>
        <v>0</v>
      </c>
    </row>
    <row r="60" spans="1:20">
      <c r="A60" s="136" t="str">
        <f>A54</f>
        <v>Accumulated Depreciation</v>
      </c>
      <c r="B60" s="136"/>
      <c r="C60" s="138">
        <f>C59</f>
        <v>0</v>
      </c>
      <c r="D60" s="138">
        <f t="shared" ref="D60:I60" si="40">D59+C60</f>
        <v>0</v>
      </c>
      <c r="E60" s="138">
        <f t="shared" si="40"/>
        <v>0</v>
      </c>
      <c r="F60" s="138">
        <f t="shared" si="40"/>
        <v>0</v>
      </c>
      <c r="G60" s="138">
        <f t="shared" si="40"/>
        <v>0</v>
      </c>
      <c r="H60" s="138">
        <f t="shared" si="40"/>
        <v>0</v>
      </c>
      <c r="I60" s="138">
        <f t="shared" si="40"/>
        <v>0</v>
      </c>
      <c r="J60" s="381"/>
      <c r="K60" s="382"/>
      <c r="L60" s="136" t="str">
        <f>L54</f>
        <v>Accumulated Depreciation</v>
      </c>
      <c r="M60" s="136"/>
      <c r="N60" s="138">
        <f>N59</f>
        <v>0</v>
      </c>
      <c r="O60" s="138">
        <f t="shared" ref="O60:T60" si="41">O59+N60</f>
        <v>0</v>
      </c>
      <c r="P60" s="138">
        <f t="shared" si="41"/>
        <v>0</v>
      </c>
      <c r="Q60" s="138">
        <f t="shared" si="41"/>
        <v>0</v>
      </c>
      <c r="R60" s="138">
        <f t="shared" si="41"/>
        <v>0</v>
      </c>
      <c r="S60" s="138">
        <f t="shared" si="41"/>
        <v>0</v>
      </c>
      <c r="T60" s="138">
        <f t="shared" si="41"/>
        <v>0</v>
      </c>
    </row>
    <row r="61" spans="1:20">
      <c r="A61" s="136" t="str">
        <f>A55</f>
        <v>Net Fixed Assets</v>
      </c>
      <c r="B61" s="136"/>
      <c r="C61" s="138">
        <f t="shared" ref="C61:I61" si="42">C58-C59</f>
        <v>0</v>
      </c>
      <c r="D61" s="138">
        <f t="shared" si="42"/>
        <v>0</v>
      </c>
      <c r="E61" s="138">
        <f t="shared" si="42"/>
        <v>0</v>
      </c>
      <c r="F61" s="138">
        <f t="shared" si="42"/>
        <v>0</v>
      </c>
      <c r="G61" s="138">
        <f t="shared" si="42"/>
        <v>0</v>
      </c>
      <c r="H61" s="138">
        <f t="shared" si="42"/>
        <v>0</v>
      </c>
      <c r="I61" s="138">
        <f t="shared" si="42"/>
        <v>0</v>
      </c>
      <c r="J61" s="381"/>
      <c r="K61" s="382"/>
      <c r="L61" s="136" t="str">
        <f>L55</f>
        <v>Net Fixed Assets</v>
      </c>
      <c r="M61" s="136"/>
      <c r="N61" s="138">
        <f t="shared" ref="N61:T61" si="43">N58-N59</f>
        <v>0</v>
      </c>
      <c r="O61" s="138">
        <f t="shared" si="43"/>
        <v>0</v>
      </c>
      <c r="P61" s="138">
        <f t="shared" si="43"/>
        <v>0</v>
      </c>
      <c r="Q61" s="138">
        <f t="shared" si="43"/>
        <v>0</v>
      </c>
      <c r="R61" s="138">
        <f t="shared" si="43"/>
        <v>0</v>
      </c>
      <c r="S61" s="138">
        <f t="shared" si="43"/>
        <v>0</v>
      </c>
      <c r="T61" s="138">
        <f t="shared" si="43"/>
        <v>0</v>
      </c>
    </row>
    <row r="62" spans="1:20">
      <c r="A62" s="137" t="s">
        <v>204</v>
      </c>
      <c r="B62" s="137"/>
      <c r="C62" s="132">
        <f t="shared" ref="C62:I65" si="44">C46+C40+C34+C52+C58</f>
        <v>37132432.961199999</v>
      </c>
      <c r="D62" s="132">
        <f t="shared" si="44"/>
        <v>35382492.154756039</v>
      </c>
      <c r="E62" s="132">
        <f t="shared" si="44"/>
        <v>33632551.34831208</v>
      </c>
      <c r="F62" s="132">
        <f t="shared" si="44"/>
        <v>31882610.541868124</v>
      </c>
      <c r="G62" s="132">
        <f t="shared" si="44"/>
        <v>30132669.735424165</v>
      </c>
      <c r="H62" s="132">
        <f t="shared" si="44"/>
        <v>28382728.928980205</v>
      </c>
      <c r="I62" s="132">
        <f t="shared" si="44"/>
        <v>26632788.122536246</v>
      </c>
      <c r="J62" s="381"/>
      <c r="K62" s="382"/>
      <c r="L62" s="137" t="s">
        <v>204</v>
      </c>
      <c r="M62" s="137"/>
      <c r="N62" s="132">
        <f t="shared" ref="N62:T65" si="45">N46+N40+N34+N52+N58</f>
        <v>37132432.961199999</v>
      </c>
      <c r="O62" s="132">
        <f t="shared" si="45"/>
        <v>32512793.017019998</v>
      </c>
      <c r="P62" s="132">
        <f t="shared" si="45"/>
        <v>28491076.564466998</v>
      </c>
      <c r="Q62" s="132">
        <f t="shared" si="45"/>
        <v>24987097.329796948</v>
      </c>
      <c r="R62" s="132">
        <f t="shared" si="45"/>
        <v>21931746.755327404</v>
      </c>
      <c r="S62" s="132">
        <f t="shared" si="45"/>
        <v>19265427.364528295</v>
      </c>
      <c r="T62" s="132">
        <f t="shared" si="45"/>
        <v>16936711.620099053</v>
      </c>
    </row>
    <row r="63" spans="1:20">
      <c r="A63" s="137" t="s">
        <v>205</v>
      </c>
      <c r="B63" s="137"/>
      <c r="C63" s="132">
        <f t="shared" si="44"/>
        <v>1749940.8064439599</v>
      </c>
      <c r="D63" s="132">
        <f t="shared" si="44"/>
        <v>1749940.8064439599</v>
      </c>
      <c r="E63" s="132">
        <f t="shared" si="44"/>
        <v>1749940.8064439599</v>
      </c>
      <c r="F63" s="132">
        <f t="shared" si="44"/>
        <v>1749940.8064439599</v>
      </c>
      <c r="G63" s="132">
        <f t="shared" si="44"/>
        <v>1749940.8064439599</v>
      </c>
      <c r="H63" s="132">
        <f t="shared" si="44"/>
        <v>1749940.8064439599</v>
      </c>
      <c r="I63" s="132">
        <f t="shared" si="44"/>
        <v>1749940.8064439599</v>
      </c>
      <c r="J63" s="381"/>
      <c r="K63" s="382"/>
      <c r="L63" s="137" t="s">
        <v>205</v>
      </c>
      <c r="M63" s="137"/>
      <c r="N63" s="132">
        <f t="shared" si="45"/>
        <v>4619639.9441799996</v>
      </c>
      <c r="O63" s="132">
        <f t="shared" si="45"/>
        <v>4021716.4525529998</v>
      </c>
      <c r="P63" s="132">
        <f t="shared" si="45"/>
        <v>3503979.2346700495</v>
      </c>
      <c r="Q63" s="132">
        <f t="shared" si="45"/>
        <v>3055350.5744695421</v>
      </c>
      <c r="R63" s="132">
        <f t="shared" si="45"/>
        <v>2666319.3907991108</v>
      </c>
      <c r="S63" s="132">
        <f t="shared" si="45"/>
        <v>2328715.7444292447</v>
      </c>
      <c r="T63" s="132">
        <f t="shared" si="45"/>
        <v>2035518.2187898578</v>
      </c>
    </row>
    <row r="64" spans="1:20">
      <c r="A64" s="137" t="s">
        <v>206</v>
      </c>
      <c r="B64" s="137"/>
      <c r="C64" s="132">
        <f t="shared" si="44"/>
        <v>1749940.8064439599</v>
      </c>
      <c r="D64" s="132">
        <f t="shared" si="44"/>
        <v>3499881.6128879199</v>
      </c>
      <c r="E64" s="132">
        <f t="shared" si="44"/>
        <v>5249822.4193318794</v>
      </c>
      <c r="F64" s="132">
        <f t="shared" si="44"/>
        <v>6999763.2257758398</v>
      </c>
      <c r="G64" s="132">
        <f t="shared" si="44"/>
        <v>8749704.0322197992</v>
      </c>
      <c r="H64" s="132">
        <f t="shared" si="44"/>
        <v>10499644.838663759</v>
      </c>
      <c r="I64" s="132">
        <f t="shared" si="44"/>
        <v>12249585.64510772</v>
      </c>
      <c r="J64" s="381"/>
      <c r="K64" s="382"/>
      <c r="L64" s="137" t="s">
        <v>206</v>
      </c>
      <c r="M64" s="137"/>
      <c r="N64" s="132">
        <f t="shared" si="45"/>
        <v>4619639.9441799996</v>
      </c>
      <c r="O64" s="132">
        <f t="shared" si="45"/>
        <v>8641356.396732999</v>
      </c>
      <c r="P64" s="132">
        <f t="shared" si="45"/>
        <v>12145335.631403048</v>
      </c>
      <c r="Q64" s="132">
        <f t="shared" si="45"/>
        <v>15200686.205872592</v>
      </c>
      <c r="R64" s="132">
        <f t="shared" si="45"/>
        <v>17867005.5966717</v>
      </c>
      <c r="S64" s="132">
        <f t="shared" si="45"/>
        <v>20195721.341100946</v>
      </c>
      <c r="T64" s="132">
        <f t="shared" si="45"/>
        <v>22231239.559890807</v>
      </c>
    </row>
    <row r="65" spans="1:20">
      <c r="A65" s="137" t="s">
        <v>200</v>
      </c>
      <c r="B65" s="137"/>
      <c r="C65" s="132">
        <f t="shared" si="44"/>
        <v>35382492.154756039</v>
      </c>
      <c r="D65" s="132">
        <f t="shared" si="44"/>
        <v>33632551.34831208</v>
      </c>
      <c r="E65" s="132">
        <f t="shared" si="44"/>
        <v>31882610.541868124</v>
      </c>
      <c r="F65" s="132">
        <f t="shared" si="44"/>
        <v>30132669.735424165</v>
      </c>
      <c r="G65" s="132">
        <f t="shared" si="44"/>
        <v>28382728.928980205</v>
      </c>
      <c r="H65" s="132">
        <f t="shared" si="44"/>
        <v>26632788.122536246</v>
      </c>
      <c r="I65" s="132">
        <f t="shared" si="44"/>
        <v>24882847.316092286</v>
      </c>
      <c r="J65" s="381"/>
      <c r="K65" s="382"/>
      <c r="L65" s="137" t="s">
        <v>200</v>
      </c>
      <c r="M65" s="137"/>
      <c r="N65" s="132">
        <f t="shared" si="45"/>
        <v>32512793.017019998</v>
      </c>
      <c r="O65" s="132">
        <f t="shared" si="45"/>
        <v>28491076.564466998</v>
      </c>
      <c r="P65" s="132">
        <f t="shared" si="45"/>
        <v>24987097.329796948</v>
      </c>
      <c r="Q65" s="132">
        <f t="shared" si="45"/>
        <v>21931746.755327404</v>
      </c>
      <c r="R65" s="132">
        <f t="shared" si="45"/>
        <v>19265427.364528295</v>
      </c>
      <c r="S65" s="132">
        <f t="shared" si="45"/>
        <v>16936711.620099053</v>
      </c>
      <c r="T65" s="132">
        <f t="shared" si="45"/>
        <v>14901193.401309192</v>
      </c>
    </row>
    <row r="66" spans="1:20">
      <c r="A66" s="140"/>
      <c r="B66" s="140"/>
      <c r="C66" s="141"/>
      <c r="D66" s="141"/>
      <c r="E66" s="141"/>
      <c r="F66" s="141"/>
      <c r="G66" s="141"/>
      <c r="H66" s="141"/>
      <c r="I66" s="141"/>
      <c r="J66" s="68"/>
      <c r="K66" s="68"/>
    </row>
    <row r="67" spans="1:20">
      <c r="A67" s="68"/>
      <c r="B67" s="68"/>
      <c r="C67" s="68"/>
      <c r="D67" s="68"/>
      <c r="E67" s="68"/>
      <c r="F67" s="68"/>
      <c r="G67" s="68"/>
      <c r="H67" s="68"/>
      <c r="I67" s="68"/>
      <c r="J67" s="68"/>
      <c r="K67" s="68"/>
    </row>
    <row r="68" spans="1:20" ht="29.25">
      <c r="A68" s="142" t="s">
        <v>207</v>
      </c>
      <c r="B68" s="143" t="s">
        <v>208</v>
      </c>
      <c r="C68" s="144" t="s">
        <v>209</v>
      </c>
      <c r="D68" s="68"/>
      <c r="E68" s="68"/>
      <c r="F68" s="68"/>
      <c r="G68" s="68"/>
      <c r="H68" s="68"/>
      <c r="I68" s="68"/>
      <c r="J68" s="68"/>
      <c r="K68" s="68"/>
    </row>
    <row r="69" spans="1:20" ht="29.25">
      <c r="A69" s="145" t="s">
        <v>210</v>
      </c>
      <c r="B69" s="143" t="s">
        <v>211</v>
      </c>
      <c r="C69" s="144" t="s">
        <v>212</v>
      </c>
      <c r="D69" s="68"/>
      <c r="E69" s="68"/>
      <c r="F69" s="68"/>
      <c r="G69" s="68"/>
      <c r="H69" s="68"/>
      <c r="I69" s="68"/>
      <c r="J69" s="68"/>
      <c r="K69" s="68"/>
    </row>
    <row r="70" spans="1:20">
      <c r="A70" s="145" t="s">
        <v>148</v>
      </c>
      <c r="B70" s="146">
        <v>0</v>
      </c>
      <c r="C70" s="146">
        <v>0</v>
      </c>
      <c r="D70" s="68"/>
      <c r="E70" s="68"/>
      <c r="F70" s="68"/>
      <c r="G70" s="68"/>
      <c r="H70" s="68"/>
      <c r="I70" s="68"/>
      <c r="J70" s="68"/>
    </row>
    <row r="71" spans="1:20">
      <c r="A71" s="147" t="s">
        <v>201</v>
      </c>
      <c r="B71" s="146">
        <v>3.1699999999999999E-2</v>
      </c>
      <c r="C71" s="146">
        <v>0.1</v>
      </c>
      <c r="D71" s="148"/>
      <c r="E71" s="68"/>
      <c r="F71" s="68"/>
      <c r="G71" s="68"/>
      <c r="H71" s="68"/>
      <c r="I71" s="68"/>
      <c r="J71" s="68"/>
    </row>
    <row r="72" spans="1:20">
      <c r="A72" s="147" t="s">
        <v>203</v>
      </c>
      <c r="B72" s="149">
        <v>0.1</v>
      </c>
      <c r="C72" s="146">
        <v>0.1</v>
      </c>
      <c r="D72" s="68"/>
      <c r="E72" s="68"/>
      <c r="F72" s="68"/>
      <c r="G72" s="68"/>
      <c r="H72" s="68"/>
      <c r="I72" s="68"/>
      <c r="J72" s="68"/>
    </row>
    <row r="73" spans="1:20">
      <c r="A73" s="68" t="s">
        <v>213</v>
      </c>
      <c r="B73" s="149">
        <v>0.1</v>
      </c>
      <c r="C73" s="149">
        <v>0.4</v>
      </c>
      <c r="D73" s="68"/>
      <c r="E73" s="68"/>
      <c r="F73" s="68"/>
      <c r="G73" s="68"/>
      <c r="H73" s="68"/>
      <c r="I73" s="68"/>
      <c r="J73" s="68"/>
    </row>
    <row r="74" spans="1:20">
      <c r="A74" s="68" t="s">
        <v>278</v>
      </c>
      <c r="B74" s="149">
        <v>0.1188</v>
      </c>
      <c r="C74" s="149">
        <v>0.15</v>
      </c>
      <c r="D74" s="68"/>
      <c r="E74" s="68"/>
      <c r="F74" s="68"/>
      <c r="G74" s="68"/>
      <c r="H74" s="68"/>
      <c r="I74" s="68"/>
      <c r="J74" s="68"/>
    </row>
    <row r="75" spans="1:20">
      <c r="A75" s="147" t="s">
        <v>214</v>
      </c>
      <c r="B75" s="149">
        <v>6.3299999999999995E-2</v>
      </c>
      <c r="C75" s="149">
        <v>0.15</v>
      </c>
      <c r="D75" s="68"/>
      <c r="E75" s="68"/>
      <c r="F75" s="68"/>
      <c r="G75" s="68"/>
      <c r="H75" s="68"/>
      <c r="I75" s="68"/>
      <c r="J75" s="68"/>
    </row>
    <row r="76" spans="1:20" ht="29.25">
      <c r="A76" s="145" t="s">
        <v>207</v>
      </c>
      <c r="B76" s="146"/>
      <c r="C76" s="148"/>
      <c r="D76" s="68"/>
      <c r="E76" s="68"/>
      <c r="F76" s="68"/>
      <c r="G76" s="68"/>
      <c r="H76" s="68"/>
      <c r="I76" s="68"/>
      <c r="J76" s="68"/>
    </row>
    <row r="77" spans="1:20">
      <c r="A77" s="147" t="s">
        <v>215</v>
      </c>
      <c r="B77" s="148">
        <v>0.2</v>
      </c>
      <c r="C77" s="148">
        <v>0.2</v>
      </c>
      <c r="D77" s="68"/>
      <c r="E77" s="68"/>
      <c r="F77" s="68"/>
      <c r="G77" s="68"/>
      <c r="H77" s="68"/>
      <c r="I77" s="68"/>
      <c r="J77" s="68"/>
    </row>
    <row r="78" spans="1:20">
      <c r="A78" s="68"/>
      <c r="B78" s="68"/>
      <c r="C78" s="68"/>
      <c r="D78" s="68"/>
      <c r="E78" s="68"/>
      <c r="F78" s="68"/>
      <c r="G78" s="68"/>
      <c r="H78" s="68"/>
      <c r="I78" s="68"/>
      <c r="J78" s="68"/>
    </row>
    <row r="79" spans="1:20">
      <c r="A79" s="68"/>
      <c r="B79" s="68"/>
      <c r="C79" s="68"/>
      <c r="D79" s="68"/>
      <c r="E79" s="150"/>
      <c r="F79" s="68"/>
      <c r="G79" s="68"/>
      <c r="H79" s="68"/>
      <c r="I79" s="68"/>
      <c r="J79" s="68"/>
    </row>
    <row r="80" spans="1:20" s="24" customFormat="1" ht="18.75">
      <c r="A80" s="724" t="s">
        <v>552</v>
      </c>
      <c r="B80" s="724"/>
      <c r="C80" s="724"/>
      <c r="D80" s="724"/>
      <c r="E80" s="724"/>
      <c r="F80" s="724"/>
      <c r="G80" s="724"/>
      <c r="H80" s="724"/>
      <c r="I80" s="724"/>
      <c r="J80" s="724"/>
    </row>
    <row r="81" spans="1:12" s="24" customFormat="1">
      <c r="A81" s="25"/>
      <c r="B81" s="25"/>
    </row>
    <row r="82" spans="1:12" s="24" customFormat="1">
      <c r="A82" s="124" t="s">
        <v>0</v>
      </c>
      <c r="B82" s="125" t="s">
        <v>345</v>
      </c>
      <c r="C82" s="126" t="s">
        <v>2</v>
      </c>
      <c r="D82" s="126" t="s">
        <v>3</v>
      </c>
      <c r="E82" s="126" t="s">
        <v>4</v>
      </c>
      <c r="F82" s="126" t="s">
        <v>5</v>
      </c>
      <c r="G82" s="126" t="s">
        <v>6</v>
      </c>
      <c r="H82" s="126" t="s">
        <v>170</v>
      </c>
      <c r="I82" s="126" t="s">
        <v>169</v>
      </c>
      <c r="J82" s="28"/>
      <c r="K82" s="28"/>
      <c r="L82" s="28"/>
    </row>
    <row r="83" spans="1:12" s="24" customFormat="1">
      <c r="A83" s="127" t="s">
        <v>256</v>
      </c>
      <c r="B83" s="128">
        <v>5</v>
      </c>
      <c r="C83" s="129">
        <f>'1.Project Cost and MOF old'!$D$10/5</f>
        <v>376640.6</v>
      </c>
      <c r="D83" s="129">
        <f>'1.Project Cost and MOF old'!$D$10/5</f>
        <v>376640.6</v>
      </c>
      <c r="E83" s="129">
        <f>'1.Project Cost and MOF old'!$D$10/5</f>
        <v>376640.6</v>
      </c>
      <c r="F83" s="129">
        <f>'1.Project Cost and MOF old'!$D$10/5</f>
        <v>376640.6</v>
      </c>
      <c r="G83" s="129">
        <f>'1.Project Cost and MOF old'!$D$10/5</f>
        <v>376640.6</v>
      </c>
      <c r="H83" s="129">
        <v>0</v>
      </c>
      <c r="I83" s="129">
        <v>0</v>
      </c>
      <c r="J83" s="28"/>
      <c r="K83" s="28"/>
      <c r="L83" s="28"/>
    </row>
    <row r="84" spans="1:12" s="24" customFormat="1">
      <c r="A84" s="130" t="s">
        <v>346</v>
      </c>
      <c r="B84" s="131"/>
      <c r="C84" s="132">
        <f t="shared" ref="C84:I84" si="46">SUM(C82:C83)</f>
        <v>376640.6</v>
      </c>
      <c r="D84" s="132">
        <f t="shared" si="46"/>
        <v>376640.6</v>
      </c>
      <c r="E84" s="132">
        <f t="shared" si="46"/>
        <v>376640.6</v>
      </c>
      <c r="F84" s="132">
        <f t="shared" si="46"/>
        <v>376640.6</v>
      </c>
      <c r="G84" s="132">
        <f t="shared" si="46"/>
        <v>376640.6</v>
      </c>
      <c r="H84" s="132">
        <f t="shared" si="46"/>
        <v>0</v>
      </c>
      <c r="I84" s="132">
        <f t="shared" si="46"/>
        <v>0</v>
      </c>
      <c r="J84" s="50"/>
      <c r="K84" s="50"/>
      <c r="L84" s="50"/>
    </row>
    <row r="85" spans="1:12" s="24" customFormat="1">
      <c r="C85" s="28"/>
      <c r="D85" s="28"/>
      <c r="E85" s="28"/>
      <c r="F85" s="28"/>
      <c r="G85" s="28"/>
      <c r="H85" s="28"/>
      <c r="I85" s="28"/>
      <c r="J85" s="28"/>
      <c r="K85" s="28"/>
      <c r="L85" s="28"/>
    </row>
    <row r="88" spans="1:12">
      <c r="A88" s="23"/>
      <c r="B88" s="24"/>
      <c r="C88" s="24"/>
      <c r="D88" s="24"/>
      <c r="E88" s="24"/>
      <c r="F88" s="24"/>
      <c r="G88" s="24"/>
      <c r="H88" s="24"/>
      <c r="I88" s="24"/>
      <c r="J88" s="24"/>
      <c r="K88" s="24"/>
    </row>
    <row r="89" spans="1:12" ht="18.75">
      <c r="A89" s="1131" t="s">
        <v>553</v>
      </c>
      <c r="B89" s="1131"/>
      <c r="C89" s="1131"/>
      <c r="D89" s="1131"/>
      <c r="E89" s="1131"/>
      <c r="F89" s="1131"/>
      <c r="G89" s="1131"/>
      <c r="H89" s="1131"/>
      <c r="I89" s="121"/>
      <c r="J89" s="121"/>
      <c r="K89" s="121"/>
    </row>
    <row r="90" spans="1:12">
      <c r="A90" s="25"/>
      <c r="B90" s="24"/>
      <c r="C90" s="24"/>
      <c r="D90" s="24"/>
      <c r="E90" s="24"/>
      <c r="F90" s="24"/>
      <c r="G90" s="24"/>
      <c r="H90" s="24"/>
      <c r="I90" s="24"/>
      <c r="J90" s="24"/>
      <c r="K90" s="24"/>
    </row>
    <row r="91" spans="1:12">
      <c r="A91" s="119" t="s">
        <v>0</v>
      </c>
      <c r="B91" s="91" t="s">
        <v>2</v>
      </c>
      <c r="C91" s="91" t="s">
        <v>3</v>
      </c>
      <c r="D91" s="91" t="s">
        <v>4</v>
      </c>
      <c r="E91" s="91" t="s">
        <v>5</v>
      </c>
      <c r="F91" s="91" t="s">
        <v>6</v>
      </c>
      <c r="G91" s="91" t="s">
        <v>170</v>
      </c>
      <c r="H91" s="91" t="s">
        <v>169</v>
      </c>
      <c r="I91" s="20"/>
      <c r="J91" s="20"/>
      <c r="K91" s="20"/>
    </row>
    <row r="92" spans="1:12">
      <c r="A92" s="64" t="s">
        <v>228</v>
      </c>
      <c r="B92" s="122">
        <f>'6.Cons Profit &amp; Loss'!B54</f>
        <v>3861714.7379363133</v>
      </c>
      <c r="C92" s="122">
        <f>'6.Cons Profit &amp; Loss'!C54</f>
        <v>5115919.5969271436</v>
      </c>
      <c r="D92" s="122">
        <f>'6.Cons Profit &amp; Loss'!D54</f>
        <v>6867317.7889222149</v>
      </c>
      <c r="E92" s="122">
        <f>'6.Cons Profit &amp; Loss'!E54</f>
        <v>8732946.423290737</v>
      </c>
      <c r="F92" s="122">
        <f>'6.Cons Profit &amp; Loss'!F54</f>
        <v>10823097.788744284</v>
      </c>
      <c r="G92" s="122">
        <f>'6.Cons Profit &amp; Loss'!G54</f>
        <v>13384886.506598625</v>
      </c>
      <c r="H92" s="122">
        <f>'6.Cons Profit &amp; Loss'!H54</f>
        <v>15762423.63198309</v>
      </c>
      <c r="I92" s="27"/>
      <c r="J92" s="27"/>
      <c r="K92" s="27"/>
    </row>
    <row r="93" spans="1:12">
      <c r="A93" s="64" t="s">
        <v>229</v>
      </c>
      <c r="B93" s="122">
        <f>'6.Cons Profit &amp; Loss'!B47</f>
        <v>1749940.8064439599</v>
      </c>
      <c r="C93" s="122">
        <f>'6.Cons Profit &amp; Loss'!C47</f>
        <v>1749940.8064439599</v>
      </c>
      <c r="D93" s="122">
        <f>'6.Cons Profit &amp; Loss'!D47</f>
        <v>1749940.8064439599</v>
      </c>
      <c r="E93" s="122">
        <f>'6.Cons Profit &amp; Loss'!E47</f>
        <v>1749940.8064439599</v>
      </c>
      <c r="F93" s="122">
        <f>'6.Cons Profit &amp; Loss'!F47</f>
        <v>1749940.8064439599</v>
      </c>
      <c r="G93" s="122">
        <f>'6.Cons Profit &amp; Loss'!G47</f>
        <v>1749940.8064439599</v>
      </c>
      <c r="H93" s="122">
        <f>'6.Cons Profit &amp; Loss'!H47</f>
        <v>1749940.8064439599</v>
      </c>
      <c r="I93" s="27"/>
      <c r="J93" s="27"/>
      <c r="K93" s="27"/>
    </row>
    <row r="94" spans="1:12">
      <c r="A94" s="64" t="s">
        <v>230</v>
      </c>
      <c r="B94" s="122">
        <f>'3.Other Exp &amp; Taxes (2)'!N63</f>
        <v>4619639.9441799996</v>
      </c>
      <c r="C94" s="122">
        <f>'3.Other Exp &amp; Taxes (2)'!O63</f>
        <v>4021716.4525529998</v>
      </c>
      <c r="D94" s="122">
        <f>'3.Other Exp &amp; Taxes (2)'!P63</f>
        <v>3503979.2346700495</v>
      </c>
      <c r="E94" s="122">
        <f>'3.Other Exp &amp; Taxes (2)'!Q63</f>
        <v>3055350.5744695421</v>
      </c>
      <c r="F94" s="122">
        <f>'3.Other Exp &amp; Taxes (2)'!R63</f>
        <v>2666319.3907991108</v>
      </c>
      <c r="G94" s="122">
        <f>'3.Other Exp &amp; Taxes (2)'!S63</f>
        <v>2328715.7444292447</v>
      </c>
      <c r="H94" s="122">
        <f>'3.Other Exp &amp; Taxes (2)'!T63</f>
        <v>2035518.2187898578</v>
      </c>
      <c r="I94" s="27"/>
      <c r="J94" s="27"/>
      <c r="K94" s="27"/>
    </row>
    <row r="95" spans="1:12">
      <c r="A95" s="64" t="s">
        <v>291</v>
      </c>
      <c r="B95" s="122">
        <f t="shared" ref="B95:H95" si="47">B92+B93-B94</f>
        <v>992015.60020027403</v>
      </c>
      <c r="C95" s="122">
        <f t="shared" si="47"/>
        <v>2844143.9508181033</v>
      </c>
      <c r="D95" s="122">
        <f t="shared" si="47"/>
        <v>5113279.3606961248</v>
      </c>
      <c r="E95" s="122">
        <f t="shared" si="47"/>
        <v>7427536.6552651543</v>
      </c>
      <c r="F95" s="122">
        <f t="shared" si="47"/>
        <v>9906719.2043891326</v>
      </c>
      <c r="G95" s="122">
        <f t="shared" si="47"/>
        <v>12806111.568613339</v>
      </c>
      <c r="H95" s="122">
        <f t="shared" si="47"/>
        <v>15476846.219637193</v>
      </c>
      <c r="I95" s="27"/>
      <c r="J95" s="27"/>
      <c r="K95" s="27"/>
    </row>
    <row r="96" spans="1:12">
      <c r="A96" s="65" t="s">
        <v>231</v>
      </c>
      <c r="B96" s="123">
        <f t="shared" ref="B96:H96" si="48">B95*$B$99</f>
        <v>257924.05605207125</v>
      </c>
      <c r="C96" s="123">
        <f t="shared" si="48"/>
        <v>739477.42721270688</v>
      </c>
      <c r="D96" s="123">
        <f t="shared" si="48"/>
        <v>1329452.6337809926</v>
      </c>
      <c r="E96" s="123">
        <f t="shared" si="48"/>
        <v>1931159.5303689402</v>
      </c>
      <c r="F96" s="123">
        <f t="shared" si="48"/>
        <v>2575746.9931411748</v>
      </c>
      <c r="G96" s="123">
        <f t="shared" si="48"/>
        <v>3329589.0078394683</v>
      </c>
      <c r="H96" s="123">
        <f t="shared" si="48"/>
        <v>4023980.0171056702</v>
      </c>
      <c r="I96" s="27"/>
      <c r="J96" s="27"/>
      <c r="K96" s="27"/>
    </row>
    <row r="97" spans="1:11">
      <c r="A97" s="26"/>
      <c r="B97" s="24"/>
      <c r="C97" s="24"/>
      <c r="D97" s="24"/>
      <c r="E97" s="24"/>
      <c r="F97" s="24"/>
      <c r="G97" s="24"/>
      <c r="H97" s="24"/>
      <c r="I97" s="24"/>
      <c r="J97" s="24"/>
      <c r="K97" s="24"/>
    </row>
    <row r="98" spans="1:11">
      <c r="A98" s="26"/>
      <c r="B98" s="28"/>
      <c r="C98" s="28"/>
      <c r="D98" s="28"/>
      <c r="E98" s="28"/>
      <c r="F98" s="28"/>
      <c r="G98" s="28"/>
      <c r="H98" s="28"/>
      <c r="I98" s="28"/>
      <c r="J98" s="28"/>
      <c r="K98" s="28"/>
    </row>
    <row r="99" spans="1:11">
      <c r="A99" s="29" t="s">
        <v>394</v>
      </c>
      <c r="B99" s="206">
        <v>0.26</v>
      </c>
      <c r="C99" s="28"/>
      <c r="D99" s="28"/>
      <c r="E99" s="28"/>
      <c r="F99" s="28"/>
      <c r="G99" s="28"/>
      <c r="H99" s="28"/>
      <c r="I99" s="28"/>
      <c r="J99" s="28"/>
      <c r="K99" s="28"/>
    </row>
    <row r="100" spans="1:11">
      <c r="A100" s="24"/>
      <c r="B100" s="24"/>
      <c r="C100" s="24"/>
      <c r="D100" s="24"/>
      <c r="E100" s="24"/>
      <c r="F100" s="24"/>
      <c r="G100" s="24"/>
      <c r="H100" s="24"/>
      <c r="I100" s="24"/>
      <c r="J100" s="24"/>
      <c r="K100" s="24"/>
    </row>
    <row r="101" spans="1:11">
      <c r="A101" s="1127" t="s">
        <v>426</v>
      </c>
      <c r="B101" s="1127"/>
      <c r="C101" s="1127"/>
      <c r="D101" s="1127"/>
      <c r="E101" s="1127"/>
      <c r="F101" s="1127"/>
      <c r="G101" s="1127"/>
      <c r="H101" s="1127"/>
      <c r="I101" s="22"/>
      <c r="J101" s="22"/>
      <c r="K101" s="22"/>
    </row>
  </sheetData>
  <mergeCells count="8">
    <mergeCell ref="A101:H101"/>
    <mergeCell ref="A2:K2"/>
    <mergeCell ref="A25:O25"/>
    <mergeCell ref="A26:I26"/>
    <mergeCell ref="C28:I28"/>
    <mergeCell ref="A80:J80"/>
    <mergeCell ref="A89:H89"/>
    <mergeCell ref="L26:T26"/>
  </mergeCells>
  <pageMargins left="1" right="0.25" top="0.75" bottom="0.75" header="0.3" footer="0.3"/>
  <pageSetup paperSize="9" scale="72" orientation="landscape" r:id="rId1"/>
  <rowBreaks count="2" manualBreakCount="2">
    <brk id="24" max="21" man="1"/>
    <brk id="66" max="21" man="1"/>
  </rowBreaks>
  <colBreaks count="1" manualBreakCount="1">
    <brk id="11" max="10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workbookViewId="0">
      <selection activeCell="E19" sqref="E19"/>
    </sheetView>
  </sheetViews>
  <sheetFormatPr defaultRowHeight="15"/>
  <cols>
    <col min="1" max="1" width="6.85546875" bestFit="1" customWidth="1"/>
    <col min="2" max="2" width="37.140625" bestFit="1" customWidth="1"/>
    <col min="3" max="3" width="16.42578125" bestFit="1" customWidth="1"/>
    <col min="4" max="4" width="15.28515625" bestFit="1" customWidth="1"/>
    <col min="5" max="5" width="13.5703125" bestFit="1" customWidth="1"/>
    <col min="6" max="6" width="11.85546875" bestFit="1" customWidth="1"/>
  </cols>
  <sheetData>
    <row r="1" spans="1:6" ht="15.75" thickBot="1">
      <c r="A1" s="688"/>
      <c r="B1" s="689" t="s">
        <v>0</v>
      </c>
      <c r="C1" s="689" t="s">
        <v>132</v>
      </c>
      <c r="D1" s="689" t="s">
        <v>2029</v>
      </c>
      <c r="E1" s="689" t="s">
        <v>2030</v>
      </c>
      <c r="F1" s="689" t="s">
        <v>2031</v>
      </c>
    </row>
    <row r="2" spans="1:6" ht="15.75" thickBot="1">
      <c r="A2" s="690" t="s">
        <v>174</v>
      </c>
      <c r="B2" s="691" t="s">
        <v>2032</v>
      </c>
      <c r="C2" s="686"/>
      <c r="D2" s="686"/>
      <c r="E2" s="686"/>
      <c r="F2" s="686"/>
    </row>
    <row r="3" spans="1:6" ht="15.75" thickBot="1">
      <c r="A3" s="692">
        <v>1</v>
      </c>
      <c r="B3" s="693" t="e">
        <f>'2.Capex Details'!#REF!</f>
        <v>#REF!</v>
      </c>
      <c r="C3" s="693">
        <v>1</v>
      </c>
      <c r="D3" s="704" t="e">
        <f>'2.Capex Details'!#REF!</f>
        <v>#REF!</v>
      </c>
      <c r="E3" s="704" t="e">
        <f>D3</f>
        <v>#REF!</v>
      </c>
      <c r="F3" s="694" t="e">
        <f>E4/E19</f>
        <v>#REF!</v>
      </c>
    </row>
    <row r="4" spans="1:6" ht="15.75" thickBot="1">
      <c r="A4" s="1132" t="s">
        <v>172</v>
      </c>
      <c r="B4" s="1133"/>
      <c r="C4" s="1133"/>
      <c r="D4" s="1134"/>
      <c r="E4" s="704" t="e">
        <f>E3</f>
        <v>#REF!</v>
      </c>
      <c r="F4" s="686"/>
    </row>
    <row r="5" spans="1:6" ht="15.75" thickBot="1">
      <c r="A5" s="690" t="s">
        <v>2033</v>
      </c>
      <c r="B5" s="691" t="s">
        <v>2034</v>
      </c>
      <c r="C5" s="686"/>
      <c r="D5" s="686"/>
      <c r="E5" s="686"/>
      <c r="F5" s="686"/>
    </row>
    <row r="6" spans="1:6">
      <c r="A6" s="695">
        <v>1</v>
      </c>
      <c r="B6" s="695" t="s">
        <v>2052</v>
      </c>
      <c r="C6" s="695">
        <v>1</v>
      </c>
      <c r="D6" s="696">
        <f>'1.Project Cost and MOF (2)'!D5</f>
        <v>19004500</v>
      </c>
      <c r="E6" s="696">
        <f t="shared" ref="E6:E9" si="0">C6*D6</f>
        <v>19004500</v>
      </c>
      <c r="F6" s="1141" t="e">
        <f>E13/E19</f>
        <v>#REF!</v>
      </c>
    </row>
    <row r="7" spans="1:6">
      <c r="A7" s="697">
        <v>2</v>
      </c>
      <c r="B7" s="698" t="str">
        <f>'2.Capex Details'!C24</f>
        <v>Dal Mill Unit</v>
      </c>
      <c r="C7" s="697">
        <v>1</v>
      </c>
      <c r="D7" s="699">
        <f>'2.Capex Details'!G46</f>
        <v>16065700</v>
      </c>
      <c r="E7" s="699">
        <f t="shared" si="0"/>
        <v>16065700</v>
      </c>
      <c r="F7" s="1142"/>
    </row>
    <row r="8" spans="1:6" ht="15.75" thickBot="1">
      <c r="A8" s="692">
        <v>3</v>
      </c>
      <c r="B8" s="700" t="e">
        <f>'2.Capex Details'!#REF!</f>
        <v>#REF!</v>
      </c>
      <c r="C8" s="693">
        <v>1</v>
      </c>
      <c r="D8" s="687" t="e">
        <f>'2.Capex Details'!#REF!</f>
        <v>#REF!</v>
      </c>
      <c r="E8" s="687" t="e">
        <f t="shared" si="0"/>
        <v>#REF!</v>
      </c>
      <c r="F8" s="708"/>
    </row>
    <row r="9" spans="1:6" ht="15.75" thickBot="1">
      <c r="A9" s="692">
        <v>4</v>
      </c>
      <c r="B9" s="686" t="e">
        <f>'2.Capex Details'!#REF!</f>
        <v>#REF!</v>
      </c>
      <c r="C9" s="693">
        <v>1</v>
      </c>
      <c r="D9" s="687" t="e">
        <f>'2.Capex Details'!#REF!</f>
        <v>#REF!</v>
      </c>
      <c r="E9" s="687" t="e">
        <f t="shared" si="0"/>
        <v>#REF!</v>
      </c>
      <c r="F9" s="708"/>
    </row>
    <row r="10" spans="1:6" ht="15.75" thickBot="1">
      <c r="A10" s="692"/>
      <c r="B10" s="686"/>
      <c r="C10" s="693"/>
      <c r="D10" s="687"/>
      <c r="E10" s="687"/>
      <c r="F10" s="702"/>
    </row>
    <row r="11" spans="1:6" ht="15.75" thickBot="1">
      <c r="A11" s="692"/>
      <c r="B11" s="686"/>
      <c r="C11" s="693"/>
      <c r="D11" s="687"/>
      <c r="E11" s="687"/>
      <c r="F11" s="702"/>
    </row>
    <row r="12" spans="1:6" ht="15.75" thickBot="1">
      <c r="A12" s="692"/>
      <c r="B12" s="686"/>
      <c r="C12" s="693"/>
      <c r="D12" s="687"/>
      <c r="E12" s="687"/>
      <c r="F12" s="703"/>
    </row>
    <row r="13" spans="1:6" ht="15.75" thickBot="1">
      <c r="A13" s="1135" t="s">
        <v>172</v>
      </c>
      <c r="B13" s="1136"/>
      <c r="C13" s="691"/>
      <c r="D13" s="701"/>
      <c r="E13" s="685" t="e">
        <f>SUM(E6:E9)</f>
        <v>#REF!</v>
      </c>
      <c r="F13" s="686"/>
    </row>
    <row r="14" spans="1:6" ht="15.75" thickBot="1">
      <c r="A14" s="690" t="s">
        <v>176</v>
      </c>
      <c r="B14" s="691" t="s">
        <v>2035</v>
      </c>
      <c r="C14" s="686"/>
      <c r="D14" s="701"/>
      <c r="E14" s="701"/>
      <c r="F14" s="686"/>
    </row>
    <row r="15" spans="1:6" ht="15.75" thickBot="1">
      <c r="A15" s="692">
        <v>1</v>
      </c>
      <c r="B15" s="686" t="s">
        <v>336</v>
      </c>
      <c r="C15" s="693">
        <v>1</v>
      </c>
      <c r="D15" s="687">
        <f>'[12]2.Capex Details'!F89</f>
        <v>0</v>
      </c>
      <c r="E15" s="687">
        <f>C15*D15</f>
        <v>0</v>
      </c>
      <c r="F15" s="1137" t="e">
        <f>E18/E19</f>
        <v>#REF!</v>
      </c>
    </row>
    <row r="16" spans="1:6" ht="15.75" thickBot="1">
      <c r="A16" s="692">
        <v>2</v>
      </c>
      <c r="B16" s="686" t="s">
        <v>2036</v>
      </c>
      <c r="C16" s="693">
        <v>1</v>
      </c>
      <c r="D16" s="687">
        <f>'[12]2.Capex Details'!F111</f>
        <v>0</v>
      </c>
      <c r="E16" s="687">
        <f>C16*D16</f>
        <v>0</v>
      </c>
      <c r="F16" s="1138"/>
    </row>
    <row r="17" spans="1:6" ht="15.75" thickBot="1">
      <c r="A17" s="692">
        <v>3</v>
      </c>
      <c r="B17" s="686" t="s">
        <v>2037</v>
      </c>
      <c r="C17" s="693">
        <v>1</v>
      </c>
      <c r="D17" s="687">
        <f>'2.Capex Details'!G141</f>
        <v>1743203</v>
      </c>
      <c r="E17" s="687">
        <f>C17*D17</f>
        <v>1743203</v>
      </c>
      <c r="F17" s="1138"/>
    </row>
    <row r="18" spans="1:6" ht="15.75" thickBot="1">
      <c r="A18" s="1135" t="s">
        <v>172</v>
      </c>
      <c r="B18" s="1140"/>
      <c r="C18" s="1140"/>
      <c r="D18" s="1136"/>
      <c r="E18" s="685">
        <f>SUM(E15:E17)</f>
        <v>1743203</v>
      </c>
      <c r="F18" s="1139"/>
    </row>
    <row r="19" spans="1:6" ht="15.75" thickBot="1">
      <c r="A19" s="1135" t="s">
        <v>2038</v>
      </c>
      <c r="B19" s="1136"/>
      <c r="C19" s="691"/>
      <c r="D19" s="701"/>
      <c r="E19" s="685" t="e">
        <f>E13+E18+E4</f>
        <v>#REF!</v>
      </c>
      <c r="F19" s="705">
        <v>1</v>
      </c>
    </row>
    <row r="20" spans="1:6">
      <c r="E20">
        <f>SUM('1.Project Cost and MOF (2)'!D5:D10)</f>
        <v>39015635.961199999</v>
      </c>
    </row>
    <row r="21" spans="1:6">
      <c r="E21" s="684" t="e">
        <f>E20-E19</f>
        <v>#REF!</v>
      </c>
    </row>
    <row r="23" spans="1:6">
      <c r="A23" s="211" t="s">
        <v>2039</v>
      </c>
      <c r="B23" s="211" t="s">
        <v>0</v>
      </c>
      <c r="C23" s="211" t="s">
        <v>2040</v>
      </c>
    </row>
    <row r="24" spans="1:6">
      <c r="A24" s="2" t="s">
        <v>174</v>
      </c>
      <c r="B24" s="2" t="s">
        <v>2032</v>
      </c>
      <c r="C24" s="9"/>
    </row>
    <row r="25" spans="1:6">
      <c r="A25" s="9"/>
      <c r="B25" s="9"/>
      <c r="C25" s="9"/>
      <c r="D25" t="s">
        <v>2041</v>
      </c>
      <c r="F25">
        <v>0</v>
      </c>
    </row>
    <row r="26" spans="1:6">
      <c r="A26" s="2" t="s">
        <v>2033</v>
      </c>
      <c r="B26" s="2" t="s">
        <v>2034</v>
      </c>
      <c r="C26" s="9"/>
    </row>
    <row r="27" spans="1:6" ht="135">
      <c r="A27" s="9">
        <v>1</v>
      </c>
      <c r="B27" s="645" t="s">
        <v>2042</v>
      </c>
      <c r="C27" s="213" t="s">
        <v>2043</v>
      </c>
    </row>
    <row r="28" spans="1:6">
      <c r="A28" s="9">
        <v>2</v>
      </c>
      <c r="B28" s="9" t="s">
        <v>2044</v>
      </c>
      <c r="C28" s="213" t="s">
        <v>2045</v>
      </c>
    </row>
    <row r="29" spans="1:6">
      <c r="A29" s="9">
        <v>3</v>
      </c>
      <c r="B29" s="9" t="s">
        <v>2046</v>
      </c>
      <c r="C29" s="213" t="s">
        <v>2043</v>
      </c>
    </row>
    <row r="30" spans="1:6">
      <c r="A30" s="9">
        <v>4</v>
      </c>
      <c r="B30" s="9" t="s">
        <v>1666</v>
      </c>
      <c r="C30" s="213" t="s">
        <v>2047</v>
      </c>
    </row>
    <row r="31" spans="1:6">
      <c r="A31" s="9">
        <v>5</v>
      </c>
      <c r="B31" s="9" t="s">
        <v>2048</v>
      </c>
      <c r="C31" s="213" t="s">
        <v>2049</v>
      </c>
    </row>
    <row r="32" spans="1:6">
      <c r="A32" s="9">
        <v>6</v>
      </c>
      <c r="B32" s="9" t="s">
        <v>2027</v>
      </c>
      <c r="C32" s="213" t="s">
        <v>2045</v>
      </c>
    </row>
    <row r="33" spans="1:3">
      <c r="A33" s="9">
        <v>7</v>
      </c>
      <c r="B33" s="9" t="s">
        <v>2050</v>
      </c>
      <c r="C33" s="213" t="s">
        <v>2045</v>
      </c>
    </row>
    <row r="34" spans="1:3">
      <c r="A34" s="9">
        <v>8</v>
      </c>
      <c r="B34" s="9" t="s">
        <v>2051</v>
      </c>
      <c r="C34" s="213" t="s">
        <v>2045</v>
      </c>
    </row>
    <row r="35" spans="1:3">
      <c r="A35" s="9">
        <v>9</v>
      </c>
      <c r="B35" s="9" t="s">
        <v>278</v>
      </c>
      <c r="C35" s="213" t="s">
        <v>2045</v>
      </c>
    </row>
    <row r="36" spans="1:3">
      <c r="A36" s="2" t="s">
        <v>176</v>
      </c>
      <c r="B36" s="2" t="s">
        <v>2035</v>
      </c>
      <c r="C36" s="213"/>
    </row>
    <row r="37" spans="1:3">
      <c r="A37" s="9">
        <v>1</v>
      </c>
      <c r="B37" s="9" t="s">
        <v>336</v>
      </c>
      <c r="C37" s="213" t="s">
        <v>2045</v>
      </c>
    </row>
    <row r="38" spans="1:3">
      <c r="A38" s="9">
        <v>2</v>
      </c>
      <c r="B38" s="9" t="s">
        <v>2036</v>
      </c>
      <c r="C38" s="213" t="s">
        <v>2045</v>
      </c>
    </row>
    <row r="39" spans="1:3">
      <c r="A39" s="9">
        <v>3</v>
      </c>
      <c r="B39" s="9" t="s">
        <v>2037</v>
      </c>
      <c r="C39" s="213" t="s">
        <v>2045</v>
      </c>
    </row>
    <row r="40" spans="1:3">
      <c r="A40" t="s">
        <v>172</v>
      </c>
      <c r="C40" t="s">
        <v>2045</v>
      </c>
    </row>
    <row r="41" spans="1:3">
      <c r="A41" t="s">
        <v>2038</v>
      </c>
    </row>
  </sheetData>
  <mergeCells count="6">
    <mergeCell ref="A4:D4"/>
    <mergeCell ref="A13:B13"/>
    <mergeCell ref="F15:F18"/>
    <mergeCell ref="A18:D18"/>
    <mergeCell ref="A19:B19"/>
    <mergeCell ref="F6:F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8"/>
  <sheetViews>
    <sheetView tabSelected="1" view="pageBreakPreview" topLeftCell="A49" zoomScale="70" zoomScaleSheetLayoutView="70" workbookViewId="0">
      <selection activeCell="F72" sqref="F72"/>
    </sheetView>
  </sheetViews>
  <sheetFormatPr defaultRowHeight="15"/>
  <cols>
    <col min="2" max="2" width="15.42578125" customWidth="1"/>
    <col min="3" max="3" width="28.140625" bestFit="1" customWidth="1"/>
    <col min="4" max="4" width="14.7109375" customWidth="1"/>
    <col min="5" max="5" width="25.85546875" bestFit="1" customWidth="1"/>
    <col min="6" max="6" width="12.140625" customWidth="1"/>
    <col min="7" max="7" width="27.28515625" bestFit="1" customWidth="1"/>
    <col min="8" max="8" width="12.28515625" bestFit="1" customWidth="1"/>
    <col min="9" max="9" width="11.7109375" bestFit="1" customWidth="1"/>
  </cols>
  <sheetData>
    <row r="2" spans="1:7" ht="18.75">
      <c r="A2" s="724" t="s">
        <v>554</v>
      </c>
      <c r="B2" s="724"/>
      <c r="C2" s="724"/>
      <c r="D2" s="724"/>
      <c r="E2" s="724"/>
      <c r="F2" s="724"/>
      <c r="G2" s="1143"/>
    </row>
    <row r="3" spans="1:7">
      <c r="B3" s="12"/>
      <c r="C3" s="12"/>
      <c r="D3" s="12"/>
      <c r="E3" s="12"/>
      <c r="F3" s="12"/>
      <c r="G3" s="12"/>
    </row>
    <row r="4" spans="1:7">
      <c r="A4" s="68"/>
      <c r="B4" s="68"/>
      <c r="C4" s="68" t="s">
        <v>466</v>
      </c>
      <c r="D4" s="84">
        <f>+'1.Project Cost and MOF (2)'!F20</f>
        <v>15114072.365079995</v>
      </c>
      <c r="E4" s="68"/>
      <c r="F4" s="68"/>
      <c r="G4" s="68"/>
    </row>
    <row r="5" spans="1:7">
      <c r="A5" s="68"/>
      <c r="B5" s="68"/>
      <c r="C5" s="68" t="s">
        <v>467</v>
      </c>
      <c r="D5" s="202">
        <v>0.12</v>
      </c>
      <c r="E5" s="68"/>
      <c r="F5" s="68"/>
      <c r="G5" s="68"/>
    </row>
    <row r="6" spans="1:7">
      <c r="A6" s="68"/>
      <c r="B6" s="68"/>
      <c r="C6" s="68" t="s">
        <v>468</v>
      </c>
      <c r="D6" s="203">
        <v>7</v>
      </c>
      <c r="E6" s="68"/>
      <c r="F6" s="68"/>
      <c r="G6" s="68"/>
    </row>
    <row r="7" spans="1:7">
      <c r="A7" s="68"/>
      <c r="B7" s="68"/>
      <c r="C7" s="68" t="s">
        <v>469</v>
      </c>
      <c r="D7" s="203">
        <v>6</v>
      </c>
      <c r="E7" s="68"/>
      <c r="F7" s="68"/>
      <c r="G7" s="68"/>
    </row>
    <row r="8" spans="1:7">
      <c r="A8" s="68"/>
      <c r="B8" s="68"/>
      <c r="C8" s="68" t="s">
        <v>22</v>
      </c>
      <c r="D8" s="662">
        <f>PMT(D5/12,(D6-(D7/12))*12,-D4)</f>
        <v>279986.36256694945</v>
      </c>
      <c r="E8" s="170"/>
      <c r="F8" s="195"/>
      <c r="G8" s="68"/>
    </row>
    <row r="9" spans="1:7">
      <c r="A9" s="119" t="s">
        <v>292</v>
      </c>
      <c r="B9" s="171" t="s">
        <v>18</v>
      </c>
      <c r="C9" s="172" t="s">
        <v>19</v>
      </c>
      <c r="D9" s="172" t="s">
        <v>20</v>
      </c>
      <c r="E9" s="172" t="s">
        <v>21</v>
      </c>
      <c r="F9" s="172" t="s">
        <v>22</v>
      </c>
      <c r="G9" s="172" t="s">
        <v>23</v>
      </c>
    </row>
    <row r="10" spans="1:7">
      <c r="A10" s="69" t="s">
        <v>11</v>
      </c>
      <c r="B10" s="69" t="s">
        <v>51</v>
      </c>
      <c r="C10" s="70">
        <f>D4</f>
        <v>15114072.365079995</v>
      </c>
      <c r="D10" s="70">
        <f t="shared" ref="D10:D41" si="0">C10*$D$5/12</f>
        <v>151140.72365079995</v>
      </c>
      <c r="E10" s="70">
        <f t="shared" ref="E10:E15" si="1">F10-D10</f>
        <v>0</v>
      </c>
      <c r="F10" s="70">
        <f t="shared" ref="F10:F15" si="2">D10</f>
        <v>151140.72365079995</v>
      </c>
      <c r="G10" s="70">
        <f>C10-E10</f>
        <v>15114072.365079995</v>
      </c>
    </row>
    <row r="11" spans="1:7">
      <c r="A11" s="69"/>
      <c r="B11" s="69" t="s">
        <v>52</v>
      </c>
      <c r="C11" s="70">
        <f>G10</f>
        <v>15114072.365079995</v>
      </c>
      <c r="D11" s="70">
        <f t="shared" si="0"/>
        <v>151140.72365079995</v>
      </c>
      <c r="E11" s="70">
        <f t="shared" si="1"/>
        <v>0</v>
      </c>
      <c r="F11" s="70">
        <f t="shared" si="2"/>
        <v>151140.72365079995</v>
      </c>
      <c r="G11" s="70">
        <f t="shared" ref="G11:G69" si="3">C11-E11</f>
        <v>15114072.365079995</v>
      </c>
    </row>
    <row r="12" spans="1:7">
      <c r="A12" s="69"/>
      <c r="B12" s="69" t="s">
        <v>53</v>
      </c>
      <c r="C12" s="70">
        <f t="shared" ref="C12:C69" si="4">G11</f>
        <v>15114072.365079995</v>
      </c>
      <c r="D12" s="70">
        <f t="shared" si="0"/>
        <v>151140.72365079995</v>
      </c>
      <c r="E12" s="70">
        <f t="shared" si="1"/>
        <v>0</v>
      </c>
      <c r="F12" s="70">
        <f t="shared" si="2"/>
        <v>151140.72365079995</v>
      </c>
      <c r="G12" s="70">
        <f t="shared" si="3"/>
        <v>15114072.365079995</v>
      </c>
    </row>
    <row r="13" spans="1:7">
      <c r="A13" s="69"/>
      <c r="B13" s="69" t="s">
        <v>54</v>
      </c>
      <c r="C13" s="70">
        <f t="shared" si="4"/>
        <v>15114072.365079995</v>
      </c>
      <c r="D13" s="70">
        <f t="shared" si="0"/>
        <v>151140.72365079995</v>
      </c>
      <c r="E13" s="70">
        <f t="shared" si="1"/>
        <v>0</v>
      </c>
      <c r="F13" s="70">
        <f t="shared" si="2"/>
        <v>151140.72365079995</v>
      </c>
      <c r="G13" s="70">
        <f t="shared" si="3"/>
        <v>15114072.365079995</v>
      </c>
    </row>
    <row r="14" spans="1:7">
      <c r="A14" s="69"/>
      <c r="B14" s="69" t="s">
        <v>55</v>
      </c>
      <c r="C14" s="70">
        <f t="shared" si="4"/>
        <v>15114072.365079995</v>
      </c>
      <c r="D14" s="70">
        <f t="shared" si="0"/>
        <v>151140.72365079995</v>
      </c>
      <c r="E14" s="70">
        <f t="shared" si="1"/>
        <v>0</v>
      </c>
      <c r="F14" s="70">
        <f t="shared" si="2"/>
        <v>151140.72365079995</v>
      </c>
      <c r="G14" s="70">
        <f t="shared" si="3"/>
        <v>15114072.365079995</v>
      </c>
    </row>
    <row r="15" spans="1:7">
      <c r="A15" s="69"/>
      <c r="B15" s="69" t="s">
        <v>56</v>
      </c>
      <c r="C15" s="70">
        <f t="shared" si="4"/>
        <v>15114072.365079995</v>
      </c>
      <c r="D15" s="70">
        <f t="shared" si="0"/>
        <v>151140.72365079995</v>
      </c>
      <c r="E15" s="70">
        <f t="shared" si="1"/>
        <v>0</v>
      </c>
      <c r="F15" s="70">
        <f t="shared" si="2"/>
        <v>151140.72365079995</v>
      </c>
      <c r="G15" s="70">
        <f t="shared" si="3"/>
        <v>15114072.365079995</v>
      </c>
    </row>
    <row r="16" spans="1:7">
      <c r="A16" s="69"/>
      <c r="B16" s="69" t="s">
        <v>57</v>
      </c>
      <c r="C16" s="70">
        <f t="shared" si="4"/>
        <v>15114072.365079995</v>
      </c>
      <c r="D16" s="70">
        <f t="shared" si="0"/>
        <v>151140.72365079995</v>
      </c>
      <c r="E16" s="70">
        <f>F16-D16</f>
        <v>128845.6389161495</v>
      </c>
      <c r="F16" s="70">
        <f t="shared" ref="F16:F79" si="5">$D$8</f>
        <v>279986.36256694945</v>
      </c>
      <c r="G16" s="70">
        <f t="shared" si="3"/>
        <v>14985226.726163846</v>
      </c>
    </row>
    <row r="17" spans="1:9">
      <c r="A17" s="69"/>
      <c r="B17" s="69" t="s">
        <v>58</v>
      </c>
      <c r="C17" s="70">
        <f t="shared" si="4"/>
        <v>14985226.726163846</v>
      </c>
      <c r="D17" s="70">
        <f t="shared" si="0"/>
        <v>149852.26726163845</v>
      </c>
      <c r="E17" s="70">
        <f t="shared" ref="E17:E69" si="6">F17-D17</f>
        <v>130134.095305311</v>
      </c>
      <c r="F17" s="70">
        <f t="shared" si="5"/>
        <v>279986.36256694945</v>
      </c>
      <c r="G17" s="70">
        <f t="shared" si="3"/>
        <v>14855092.630858535</v>
      </c>
    </row>
    <row r="18" spans="1:9">
      <c r="A18" s="69"/>
      <c r="B18" s="69" t="s">
        <v>59</v>
      </c>
      <c r="C18" s="70">
        <f t="shared" si="4"/>
        <v>14855092.630858535</v>
      </c>
      <c r="D18" s="70">
        <f t="shared" si="0"/>
        <v>148550.92630858536</v>
      </c>
      <c r="E18" s="70">
        <f t="shared" si="6"/>
        <v>131435.43625836409</v>
      </c>
      <c r="F18" s="70">
        <f t="shared" si="5"/>
        <v>279986.36256694945</v>
      </c>
      <c r="G18" s="70">
        <f t="shared" si="3"/>
        <v>14723657.19460017</v>
      </c>
    </row>
    <row r="19" spans="1:9">
      <c r="A19" s="69"/>
      <c r="B19" s="69" t="s">
        <v>60</v>
      </c>
      <c r="C19" s="70">
        <f t="shared" si="4"/>
        <v>14723657.19460017</v>
      </c>
      <c r="D19" s="70">
        <f t="shared" si="0"/>
        <v>147236.5719460017</v>
      </c>
      <c r="E19" s="70">
        <f t="shared" si="6"/>
        <v>132749.79062094775</v>
      </c>
      <c r="F19" s="70">
        <f t="shared" si="5"/>
        <v>279986.36256694945</v>
      </c>
      <c r="G19" s="70">
        <f t="shared" si="3"/>
        <v>14590907.403979223</v>
      </c>
    </row>
    <row r="20" spans="1:9">
      <c r="A20" s="69"/>
      <c r="B20" s="69" t="s">
        <v>61</v>
      </c>
      <c r="C20" s="70">
        <f t="shared" si="4"/>
        <v>14590907.403979223</v>
      </c>
      <c r="D20" s="70">
        <f t="shared" si="0"/>
        <v>145909.07403979223</v>
      </c>
      <c r="E20" s="70">
        <f t="shared" si="6"/>
        <v>134077.28852715722</v>
      </c>
      <c r="F20" s="70">
        <f t="shared" si="5"/>
        <v>279986.36256694945</v>
      </c>
      <c r="G20" s="70">
        <f t="shared" si="3"/>
        <v>14456830.115452066</v>
      </c>
    </row>
    <row r="21" spans="1:9">
      <c r="A21" s="69"/>
      <c r="B21" s="69" t="s">
        <v>62</v>
      </c>
      <c r="C21" s="70">
        <f t="shared" si="4"/>
        <v>14456830.115452066</v>
      </c>
      <c r="D21" s="70">
        <f t="shared" si="0"/>
        <v>144568.30115452065</v>
      </c>
      <c r="E21" s="70">
        <f t="shared" si="6"/>
        <v>135418.0614124288</v>
      </c>
      <c r="F21" s="70">
        <f t="shared" si="5"/>
        <v>279986.36256694945</v>
      </c>
      <c r="G21" s="70">
        <f t="shared" si="3"/>
        <v>14321412.054039637</v>
      </c>
      <c r="H21" s="1"/>
      <c r="I21" s="1"/>
    </row>
    <row r="22" spans="1:9">
      <c r="A22" s="69" t="s">
        <v>12</v>
      </c>
      <c r="B22" s="69" t="s">
        <v>63</v>
      </c>
      <c r="C22" s="70">
        <f t="shared" si="4"/>
        <v>14321412.054039637</v>
      </c>
      <c r="D22" s="70">
        <f t="shared" si="0"/>
        <v>143214.12054039637</v>
      </c>
      <c r="E22" s="70">
        <f t="shared" si="6"/>
        <v>136772.24202655308</v>
      </c>
      <c r="F22" s="70">
        <f t="shared" si="5"/>
        <v>279986.36256694945</v>
      </c>
      <c r="G22" s="70">
        <f t="shared" si="3"/>
        <v>14184639.812013084</v>
      </c>
    </row>
    <row r="23" spans="1:9">
      <c r="A23" s="69"/>
      <c r="B23" s="69" t="s">
        <v>64</v>
      </c>
      <c r="C23" s="70">
        <f t="shared" si="4"/>
        <v>14184639.812013084</v>
      </c>
      <c r="D23" s="70">
        <f t="shared" si="0"/>
        <v>141846.39812013085</v>
      </c>
      <c r="E23" s="70">
        <f t="shared" si="6"/>
        <v>138139.9644468186</v>
      </c>
      <c r="F23" s="70">
        <f t="shared" si="5"/>
        <v>279986.36256694945</v>
      </c>
      <c r="G23" s="70">
        <f t="shared" si="3"/>
        <v>14046499.847566266</v>
      </c>
    </row>
    <row r="24" spans="1:9">
      <c r="A24" s="69"/>
      <c r="B24" s="69" t="s">
        <v>65</v>
      </c>
      <c r="C24" s="70">
        <f t="shared" si="4"/>
        <v>14046499.847566266</v>
      </c>
      <c r="D24" s="70">
        <f t="shared" si="0"/>
        <v>140464.99847566264</v>
      </c>
      <c r="E24" s="70">
        <f t="shared" si="6"/>
        <v>139521.36409128681</v>
      </c>
      <c r="F24" s="70">
        <f t="shared" si="5"/>
        <v>279986.36256694945</v>
      </c>
      <c r="G24" s="70">
        <f t="shared" si="3"/>
        <v>13906978.483474979</v>
      </c>
    </row>
    <row r="25" spans="1:9">
      <c r="A25" s="69"/>
      <c r="B25" s="69" t="s">
        <v>66</v>
      </c>
      <c r="C25" s="70">
        <f t="shared" si="4"/>
        <v>13906978.483474979</v>
      </c>
      <c r="D25" s="70">
        <f t="shared" si="0"/>
        <v>139069.78483474979</v>
      </c>
      <c r="E25" s="70">
        <f t="shared" si="6"/>
        <v>140916.57773219966</v>
      </c>
      <c r="F25" s="70">
        <f t="shared" si="5"/>
        <v>279986.36256694945</v>
      </c>
      <c r="G25" s="70">
        <f t="shared" si="3"/>
        <v>13766061.905742779</v>
      </c>
    </row>
    <row r="26" spans="1:9">
      <c r="A26" s="69"/>
      <c r="B26" s="69" t="s">
        <v>67</v>
      </c>
      <c r="C26" s="70">
        <f t="shared" si="4"/>
        <v>13766061.905742779</v>
      </c>
      <c r="D26" s="70">
        <f t="shared" si="0"/>
        <v>137660.61905742777</v>
      </c>
      <c r="E26" s="70">
        <f t="shared" si="6"/>
        <v>142325.74350952168</v>
      </c>
      <c r="F26" s="70">
        <f t="shared" si="5"/>
        <v>279986.36256694945</v>
      </c>
      <c r="G26" s="70">
        <f t="shared" si="3"/>
        <v>13623736.162233258</v>
      </c>
    </row>
    <row r="27" spans="1:9">
      <c r="A27" s="69"/>
      <c r="B27" s="69" t="s">
        <v>68</v>
      </c>
      <c r="C27" s="70">
        <f t="shared" si="4"/>
        <v>13623736.162233258</v>
      </c>
      <c r="D27" s="70">
        <f t="shared" si="0"/>
        <v>136237.36162233257</v>
      </c>
      <c r="E27" s="70">
        <f t="shared" si="6"/>
        <v>143749.00094461688</v>
      </c>
      <c r="F27" s="70">
        <f t="shared" si="5"/>
        <v>279986.36256694945</v>
      </c>
      <c r="G27" s="70">
        <f t="shared" si="3"/>
        <v>13479987.161288641</v>
      </c>
    </row>
    <row r="28" spans="1:9">
      <c r="A28" s="69"/>
      <c r="B28" s="69" t="s">
        <v>69</v>
      </c>
      <c r="C28" s="70">
        <f t="shared" si="4"/>
        <v>13479987.161288641</v>
      </c>
      <c r="D28" s="70">
        <f t="shared" si="0"/>
        <v>134799.8716128864</v>
      </c>
      <c r="E28" s="70">
        <f t="shared" si="6"/>
        <v>145186.49095406305</v>
      </c>
      <c r="F28" s="70">
        <f t="shared" si="5"/>
        <v>279986.36256694945</v>
      </c>
      <c r="G28" s="70">
        <f t="shared" si="3"/>
        <v>13334800.670334578</v>
      </c>
    </row>
    <row r="29" spans="1:9">
      <c r="A29" s="69"/>
      <c r="B29" s="69" t="s">
        <v>70</v>
      </c>
      <c r="C29" s="70">
        <f t="shared" si="4"/>
        <v>13334800.670334578</v>
      </c>
      <c r="D29" s="70">
        <f t="shared" si="0"/>
        <v>133348.00670334577</v>
      </c>
      <c r="E29" s="70">
        <f t="shared" si="6"/>
        <v>146638.35586360368</v>
      </c>
      <c r="F29" s="70">
        <f t="shared" si="5"/>
        <v>279986.36256694945</v>
      </c>
      <c r="G29" s="70">
        <f t="shared" si="3"/>
        <v>13188162.314470975</v>
      </c>
    </row>
    <row r="30" spans="1:9">
      <c r="A30" s="69"/>
      <c r="B30" s="69" t="s">
        <v>71</v>
      </c>
      <c r="C30" s="70">
        <f t="shared" si="4"/>
        <v>13188162.314470975</v>
      </c>
      <c r="D30" s="70">
        <f t="shared" si="0"/>
        <v>131881.62314470974</v>
      </c>
      <c r="E30" s="70">
        <f t="shared" si="6"/>
        <v>148104.73942223971</v>
      </c>
      <c r="F30" s="70">
        <f t="shared" si="5"/>
        <v>279986.36256694945</v>
      </c>
      <c r="G30" s="70">
        <f t="shared" si="3"/>
        <v>13040057.575048735</v>
      </c>
    </row>
    <row r="31" spans="1:9">
      <c r="A31" s="69"/>
      <c r="B31" s="69" t="s">
        <v>72</v>
      </c>
      <c r="C31" s="70">
        <f t="shared" si="4"/>
        <v>13040057.575048735</v>
      </c>
      <c r="D31" s="70">
        <f t="shared" si="0"/>
        <v>130400.57575048735</v>
      </c>
      <c r="E31" s="70">
        <f t="shared" si="6"/>
        <v>149585.78681646212</v>
      </c>
      <c r="F31" s="70">
        <f t="shared" si="5"/>
        <v>279986.36256694945</v>
      </c>
      <c r="G31" s="70">
        <f t="shared" si="3"/>
        <v>12890471.788232272</v>
      </c>
    </row>
    <row r="32" spans="1:9">
      <c r="A32" s="69"/>
      <c r="B32" s="69" t="s">
        <v>73</v>
      </c>
      <c r="C32" s="70">
        <f t="shared" si="4"/>
        <v>12890471.788232272</v>
      </c>
      <c r="D32" s="70">
        <f t="shared" si="0"/>
        <v>128904.71788232273</v>
      </c>
      <c r="E32" s="70">
        <f t="shared" si="6"/>
        <v>151081.64468462672</v>
      </c>
      <c r="F32" s="70">
        <f t="shared" si="5"/>
        <v>279986.36256694945</v>
      </c>
      <c r="G32" s="70">
        <f t="shared" si="3"/>
        <v>12739390.143547647</v>
      </c>
    </row>
    <row r="33" spans="1:9">
      <c r="A33" s="69"/>
      <c r="B33" s="69" t="s">
        <v>74</v>
      </c>
      <c r="C33" s="70">
        <f t="shared" si="4"/>
        <v>12739390.143547647</v>
      </c>
      <c r="D33" s="70">
        <f t="shared" si="0"/>
        <v>127393.90143547645</v>
      </c>
      <c r="E33" s="70">
        <f t="shared" si="6"/>
        <v>152592.46113147301</v>
      </c>
      <c r="F33" s="70">
        <f t="shared" si="5"/>
        <v>279986.36256694945</v>
      </c>
      <c r="G33" s="70">
        <f t="shared" si="3"/>
        <v>12586797.682416175</v>
      </c>
      <c r="H33" s="1"/>
      <c r="I33" s="1"/>
    </row>
    <row r="34" spans="1:9">
      <c r="A34" s="69" t="s">
        <v>13</v>
      </c>
      <c r="B34" s="69" t="s">
        <v>75</v>
      </c>
      <c r="C34" s="70">
        <f t="shared" si="4"/>
        <v>12586797.682416175</v>
      </c>
      <c r="D34" s="70">
        <f t="shared" si="0"/>
        <v>125867.97682416173</v>
      </c>
      <c r="E34" s="70">
        <f t="shared" si="6"/>
        <v>154118.38574278774</v>
      </c>
      <c r="F34" s="70">
        <f t="shared" si="5"/>
        <v>279986.36256694945</v>
      </c>
      <c r="G34" s="70">
        <f t="shared" si="3"/>
        <v>12432679.296673387</v>
      </c>
    </row>
    <row r="35" spans="1:9">
      <c r="A35" s="69"/>
      <c r="B35" s="69" t="s">
        <v>76</v>
      </c>
      <c r="C35" s="70">
        <f t="shared" si="4"/>
        <v>12432679.296673387</v>
      </c>
      <c r="D35" s="70">
        <f t="shared" si="0"/>
        <v>124326.79296673386</v>
      </c>
      <c r="E35" s="70">
        <f t="shared" si="6"/>
        <v>155659.56960021559</v>
      </c>
      <c r="F35" s="70">
        <f t="shared" si="5"/>
        <v>279986.36256694945</v>
      </c>
      <c r="G35" s="70">
        <f t="shared" si="3"/>
        <v>12277019.727073172</v>
      </c>
    </row>
    <row r="36" spans="1:9">
      <c r="A36" s="69"/>
      <c r="B36" s="69" t="s">
        <v>77</v>
      </c>
      <c r="C36" s="70">
        <f t="shared" si="4"/>
        <v>12277019.727073172</v>
      </c>
      <c r="D36" s="70">
        <f t="shared" si="0"/>
        <v>122770.19727073172</v>
      </c>
      <c r="E36" s="70">
        <f t="shared" si="6"/>
        <v>157216.16529621772</v>
      </c>
      <c r="F36" s="70">
        <f t="shared" si="5"/>
        <v>279986.36256694945</v>
      </c>
      <c r="G36" s="70">
        <f t="shared" si="3"/>
        <v>12119803.561776955</v>
      </c>
    </row>
    <row r="37" spans="1:9">
      <c r="A37" s="69"/>
      <c r="B37" s="69" t="s">
        <v>78</v>
      </c>
      <c r="C37" s="70">
        <f t="shared" si="4"/>
        <v>12119803.561776955</v>
      </c>
      <c r="D37" s="70">
        <f t="shared" si="0"/>
        <v>121198.03561776954</v>
      </c>
      <c r="E37" s="70">
        <f t="shared" si="6"/>
        <v>158788.32694917993</v>
      </c>
      <c r="F37" s="70">
        <f t="shared" si="5"/>
        <v>279986.36256694945</v>
      </c>
      <c r="G37" s="70">
        <f t="shared" si="3"/>
        <v>11961015.234827776</v>
      </c>
    </row>
    <row r="38" spans="1:9">
      <c r="A38" s="69"/>
      <c r="B38" s="69" t="s">
        <v>79</v>
      </c>
      <c r="C38" s="70">
        <f t="shared" si="4"/>
        <v>11961015.234827776</v>
      </c>
      <c r="D38" s="70">
        <f t="shared" si="0"/>
        <v>119610.15234827774</v>
      </c>
      <c r="E38" s="70">
        <f t="shared" si="6"/>
        <v>160376.21021867171</v>
      </c>
      <c r="F38" s="70">
        <f t="shared" si="5"/>
        <v>279986.36256694945</v>
      </c>
      <c r="G38" s="70">
        <f t="shared" si="3"/>
        <v>11800639.024609104</v>
      </c>
    </row>
    <row r="39" spans="1:9">
      <c r="A39" s="69"/>
      <c r="B39" s="69" t="s">
        <v>80</v>
      </c>
      <c r="C39" s="70">
        <f t="shared" si="4"/>
        <v>11800639.024609104</v>
      </c>
      <c r="D39" s="70">
        <f t="shared" si="0"/>
        <v>118006.39024609105</v>
      </c>
      <c r="E39" s="70">
        <f t="shared" si="6"/>
        <v>161979.97232085839</v>
      </c>
      <c r="F39" s="70">
        <f t="shared" si="5"/>
        <v>279986.36256694945</v>
      </c>
      <c r="G39" s="70">
        <f t="shared" si="3"/>
        <v>11638659.052288245</v>
      </c>
    </row>
    <row r="40" spans="1:9">
      <c r="A40" s="69"/>
      <c r="B40" s="69" t="s">
        <v>81</v>
      </c>
      <c r="C40" s="70">
        <f t="shared" si="4"/>
        <v>11638659.052288245</v>
      </c>
      <c r="D40" s="70">
        <f t="shared" si="0"/>
        <v>116386.59052288246</v>
      </c>
      <c r="E40" s="70">
        <f t="shared" si="6"/>
        <v>163599.77204406698</v>
      </c>
      <c r="F40" s="70">
        <f t="shared" si="5"/>
        <v>279986.36256694945</v>
      </c>
      <c r="G40" s="70">
        <f t="shared" si="3"/>
        <v>11475059.280244179</v>
      </c>
    </row>
    <row r="41" spans="1:9">
      <c r="A41" s="69"/>
      <c r="B41" s="69" t="s">
        <v>82</v>
      </c>
      <c r="C41" s="70">
        <f t="shared" si="4"/>
        <v>11475059.280244179</v>
      </c>
      <c r="D41" s="70">
        <f t="shared" si="0"/>
        <v>114750.5928024418</v>
      </c>
      <c r="E41" s="70">
        <f t="shared" si="6"/>
        <v>165235.76976450766</v>
      </c>
      <c r="F41" s="70">
        <f t="shared" si="5"/>
        <v>279986.36256694945</v>
      </c>
      <c r="G41" s="70">
        <f t="shared" si="3"/>
        <v>11309823.510479672</v>
      </c>
    </row>
    <row r="42" spans="1:9">
      <c r="A42" s="69"/>
      <c r="B42" s="69" t="s">
        <v>83</v>
      </c>
      <c r="C42" s="70">
        <f t="shared" si="4"/>
        <v>11309823.510479672</v>
      </c>
      <c r="D42" s="70">
        <f t="shared" ref="D42:D69" si="7">C42*$D$5/12</f>
        <v>113098.23510479671</v>
      </c>
      <c r="E42" s="70">
        <f t="shared" si="6"/>
        <v>166888.12746215274</v>
      </c>
      <c r="F42" s="70">
        <f t="shared" si="5"/>
        <v>279986.36256694945</v>
      </c>
      <c r="G42" s="70">
        <f t="shared" si="3"/>
        <v>11142935.383017519</v>
      </c>
    </row>
    <row r="43" spans="1:9">
      <c r="A43" s="69"/>
      <c r="B43" s="69" t="s">
        <v>84</v>
      </c>
      <c r="C43" s="70">
        <f t="shared" si="4"/>
        <v>11142935.383017519</v>
      </c>
      <c r="D43" s="70">
        <f t="shared" si="7"/>
        <v>111429.35383017518</v>
      </c>
      <c r="E43" s="70">
        <f t="shared" si="6"/>
        <v>168557.00873677427</v>
      </c>
      <c r="F43" s="70">
        <f t="shared" si="5"/>
        <v>279986.36256694945</v>
      </c>
      <c r="G43" s="70">
        <f t="shared" si="3"/>
        <v>10974378.374280745</v>
      </c>
    </row>
    <row r="44" spans="1:9">
      <c r="A44" s="69"/>
      <c r="B44" s="69" t="s">
        <v>85</v>
      </c>
      <c r="C44" s="70">
        <f t="shared" si="4"/>
        <v>10974378.374280745</v>
      </c>
      <c r="D44" s="70">
        <f t="shared" si="7"/>
        <v>109743.78374280746</v>
      </c>
      <c r="E44" s="70">
        <f t="shared" si="6"/>
        <v>170242.57882414199</v>
      </c>
      <c r="F44" s="70">
        <f t="shared" si="5"/>
        <v>279986.36256694945</v>
      </c>
      <c r="G44" s="70">
        <f t="shared" si="3"/>
        <v>10804135.795456603</v>
      </c>
    </row>
    <row r="45" spans="1:9">
      <c r="A45" s="69"/>
      <c r="B45" s="69" t="s">
        <v>86</v>
      </c>
      <c r="C45" s="70">
        <f t="shared" si="4"/>
        <v>10804135.795456603</v>
      </c>
      <c r="D45" s="70">
        <f t="shared" si="7"/>
        <v>108041.35795456603</v>
      </c>
      <c r="E45" s="70">
        <f t="shared" si="6"/>
        <v>171945.00461238343</v>
      </c>
      <c r="F45" s="70">
        <f t="shared" si="5"/>
        <v>279986.36256694945</v>
      </c>
      <c r="G45" s="70">
        <f t="shared" si="3"/>
        <v>10632190.790844221</v>
      </c>
      <c r="H45" s="1"/>
      <c r="I45" s="1"/>
    </row>
    <row r="46" spans="1:9">
      <c r="A46" s="69" t="s">
        <v>14</v>
      </c>
      <c r="B46" s="69" t="s">
        <v>87</v>
      </c>
      <c r="C46" s="70">
        <f t="shared" si="4"/>
        <v>10632190.790844221</v>
      </c>
      <c r="D46" s="70">
        <f t="shared" si="7"/>
        <v>106321.9079084422</v>
      </c>
      <c r="E46" s="70">
        <f t="shared" si="6"/>
        <v>173664.45465850725</v>
      </c>
      <c r="F46" s="70">
        <f t="shared" si="5"/>
        <v>279986.36256694945</v>
      </c>
      <c r="G46" s="70">
        <f t="shared" si="3"/>
        <v>10458526.336185714</v>
      </c>
    </row>
    <row r="47" spans="1:9">
      <c r="A47" s="69"/>
      <c r="B47" s="69" t="s">
        <v>88</v>
      </c>
      <c r="C47" s="70">
        <f t="shared" si="4"/>
        <v>10458526.336185714</v>
      </c>
      <c r="D47" s="70">
        <f t="shared" si="7"/>
        <v>104585.26336185714</v>
      </c>
      <c r="E47" s="70">
        <f t="shared" si="6"/>
        <v>175401.09920509229</v>
      </c>
      <c r="F47" s="70">
        <f t="shared" si="5"/>
        <v>279986.36256694945</v>
      </c>
      <c r="G47" s="70">
        <f t="shared" si="3"/>
        <v>10283125.236980623</v>
      </c>
    </row>
    <row r="48" spans="1:9">
      <c r="A48" s="69"/>
      <c r="B48" s="69" t="s">
        <v>89</v>
      </c>
      <c r="C48" s="70">
        <f t="shared" si="4"/>
        <v>10283125.236980623</v>
      </c>
      <c r="D48" s="70">
        <f t="shared" si="7"/>
        <v>102831.25236980623</v>
      </c>
      <c r="E48" s="70">
        <f t="shared" si="6"/>
        <v>177155.11019714322</v>
      </c>
      <c r="F48" s="70">
        <f t="shared" si="5"/>
        <v>279986.36256694945</v>
      </c>
      <c r="G48" s="70">
        <f t="shared" si="3"/>
        <v>10105970.126783479</v>
      </c>
    </row>
    <row r="49" spans="1:9">
      <c r="A49" s="69"/>
      <c r="B49" s="69" t="s">
        <v>90</v>
      </c>
      <c r="C49" s="70">
        <f t="shared" si="4"/>
        <v>10105970.126783479</v>
      </c>
      <c r="D49" s="70">
        <f t="shared" si="7"/>
        <v>101059.7012678348</v>
      </c>
      <c r="E49" s="70">
        <f t="shared" si="6"/>
        <v>178926.66129911464</v>
      </c>
      <c r="F49" s="70">
        <f t="shared" si="5"/>
        <v>279986.36256694945</v>
      </c>
      <c r="G49" s="70">
        <f t="shared" si="3"/>
        <v>9927043.465484364</v>
      </c>
    </row>
    <row r="50" spans="1:9">
      <c r="A50" s="69"/>
      <c r="B50" s="69" t="s">
        <v>91</v>
      </c>
      <c r="C50" s="70">
        <f t="shared" si="4"/>
        <v>9927043.465484364</v>
      </c>
      <c r="D50" s="70">
        <f t="shared" si="7"/>
        <v>99270.434654843644</v>
      </c>
      <c r="E50" s="70">
        <f t="shared" si="6"/>
        <v>180715.92791210581</v>
      </c>
      <c r="F50" s="70">
        <f t="shared" si="5"/>
        <v>279986.36256694945</v>
      </c>
      <c r="G50" s="70">
        <f t="shared" si="3"/>
        <v>9746327.5375722572</v>
      </c>
    </row>
    <row r="51" spans="1:9">
      <c r="A51" s="69"/>
      <c r="B51" s="69" t="s">
        <v>92</v>
      </c>
      <c r="C51" s="70">
        <f t="shared" si="4"/>
        <v>9746327.5375722572</v>
      </c>
      <c r="D51" s="70">
        <f t="shared" si="7"/>
        <v>97463.275375722573</v>
      </c>
      <c r="E51" s="70">
        <f t="shared" si="6"/>
        <v>182523.08719122689</v>
      </c>
      <c r="F51" s="70">
        <f t="shared" si="5"/>
        <v>279986.36256694945</v>
      </c>
      <c r="G51" s="70">
        <f t="shared" si="3"/>
        <v>9563804.4503810294</v>
      </c>
    </row>
    <row r="52" spans="1:9">
      <c r="A52" s="69"/>
      <c r="B52" s="69" t="s">
        <v>93</v>
      </c>
      <c r="C52" s="70">
        <f t="shared" si="4"/>
        <v>9563804.4503810294</v>
      </c>
      <c r="D52" s="70">
        <f t="shared" si="7"/>
        <v>95638.044503810292</v>
      </c>
      <c r="E52" s="70">
        <f t="shared" si="6"/>
        <v>184348.31806313916</v>
      </c>
      <c r="F52" s="70">
        <f t="shared" si="5"/>
        <v>279986.36256694945</v>
      </c>
      <c r="G52" s="70">
        <f t="shared" si="3"/>
        <v>9379456.1323178895</v>
      </c>
    </row>
    <row r="53" spans="1:9">
      <c r="A53" s="69"/>
      <c r="B53" s="69" t="s">
        <v>94</v>
      </c>
      <c r="C53" s="70">
        <f t="shared" si="4"/>
        <v>9379456.1323178895</v>
      </c>
      <c r="D53" s="70">
        <f t="shared" si="7"/>
        <v>93794.561323178888</v>
      </c>
      <c r="E53" s="70">
        <f t="shared" si="6"/>
        <v>186191.80124377058</v>
      </c>
      <c r="F53" s="70">
        <f t="shared" si="5"/>
        <v>279986.36256694945</v>
      </c>
      <c r="G53" s="70">
        <f t="shared" si="3"/>
        <v>9193264.3310741186</v>
      </c>
    </row>
    <row r="54" spans="1:9">
      <c r="A54" s="69"/>
      <c r="B54" s="69" t="s">
        <v>95</v>
      </c>
      <c r="C54" s="70">
        <f t="shared" si="4"/>
        <v>9193264.3310741186</v>
      </c>
      <c r="D54" s="70">
        <f t="shared" si="7"/>
        <v>91932.643310741187</v>
      </c>
      <c r="E54" s="70">
        <f t="shared" si="6"/>
        <v>188053.71925620828</v>
      </c>
      <c r="F54" s="70">
        <f t="shared" si="5"/>
        <v>279986.36256694945</v>
      </c>
      <c r="G54" s="70">
        <f t="shared" si="3"/>
        <v>9005210.6118179113</v>
      </c>
    </row>
    <row r="55" spans="1:9">
      <c r="A55" s="69"/>
      <c r="B55" s="69" t="s">
        <v>96</v>
      </c>
      <c r="C55" s="70">
        <f t="shared" si="4"/>
        <v>9005210.6118179113</v>
      </c>
      <c r="D55" s="70">
        <f t="shared" si="7"/>
        <v>90052.106118179101</v>
      </c>
      <c r="E55" s="70">
        <f t="shared" si="6"/>
        <v>189934.25644877035</v>
      </c>
      <c r="F55" s="70">
        <f t="shared" si="5"/>
        <v>279986.36256694945</v>
      </c>
      <c r="G55" s="70">
        <f t="shared" si="3"/>
        <v>8815276.3553691413</v>
      </c>
    </row>
    <row r="56" spans="1:9">
      <c r="A56" s="69"/>
      <c r="B56" s="69" t="s">
        <v>97</v>
      </c>
      <c r="C56" s="70">
        <f t="shared" si="4"/>
        <v>8815276.3553691413</v>
      </c>
      <c r="D56" s="70">
        <f t="shared" si="7"/>
        <v>88152.763553691402</v>
      </c>
      <c r="E56" s="70">
        <f t="shared" si="6"/>
        <v>191833.59901325806</v>
      </c>
      <c r="F56" s="70">
        <f t="shared" si="5"/>
        <v>279986.36256694945</v>
      </c>
      <c r="G56" s="70">
        <f t="shared" si="3"/>
        <v>8623442.7563558836</v>
      </c>
    </row>
    <row r="57" spans="1:9">
      <c r="A57" s="69"/>
      <c r="B57" s="69" t="s">
        <v>98</v>
      </c>
      <c r="C57" s="70">
        <f t="shared" si="4"/>
        <v>8623442.7563558836</v>
      </c>
      <c r="D57" s="70">
        <f t="shared" si="7"/>
        <v>86234.427563558842</v>
      </c>
      <c r="E57" s="70">
        <f t="shared" si="6"/>
        <v>193751.93500339059</v>
      </c>
      <c r="F57" s="70">
        <f t="shared" si="5"/>
        <v>279986.36256694945</v>
      </c>
      <c r="G57" s="70">
        <f t="shared" si="3"/>
        <v>8429690.821352493</v>
      </c>
      <c r="H57" s="1"/>
      <c r="I57" s="1"/>
    </row>
    <row r="58" spans="1:9">
      <c r="A58" s="69" t="s">
        <v>15</v>
      </c>
      <c r="B58" s="69" t="s">
        <v>99</v>
      </c>
      <c r="C58" s="70">
        <f t="shared" si="4"/>
        <v>8429690.821352493</v>
      </c>
      <c r="D58" s="70">
        <f t="shared" si="7"/>
        <v>84296.908213524919</v>
      </c>
      <c r="E58" s="70">
        <f t="shared" si="6"/>
        <v>195689.45435342455</v>
      </c>
      <c r="F58" s="70">
        <f t="shared" si="5"/>
        <v>279986.36256694945</v>
      </c>
      <c r="G58" s="70">
        <f t="shared" si="3"/>
        <v>8234001.3669990683</v>
      </c>
    </row>
    <row r="59" spans="1:9">
      <c r="A59" s="69"/>
      <c r="B59" s="69" t="s">
        <v>100</v>
      </c>
      <c r="C59" s="70">
        <f t="shared" si="4"/>
        <v>8234001.3669990683</v>
      </c>
      <c r="D59" s="70">
        <f t="shared" si="7"/>
        <v>82340.013669990687</v>
      </c>
      <c r="E59" s="70">
        <f t="shared" si="6"/>
        <v>197646.34889695875</v>
      </c>
      <c r="F59" s="70">
        <f t="shared" si="5"/>
        <v>279986.36256694945</v>
      </c>
      <c r="G59" s="70">
        <f t="shared" si="3"/>
        <v>8036355.0181021094</v>
      </c>
    </row>
    <row r="60" spans="1:9">
      <c r="A60" s="69"/>
      <c r="B60" s="69" t="s">
        <v>101</v>
      </c>
      <c r="C60" s="70">
        <f t="shared" si="4"/>
        <v>8036355.0181021094</v>
      </c>
      <c r="D60" s="70">
        <f t="shared" si="7"/>
        <v>80363.550181021084</v>
      </c>
      <c r="E60" s="70">
        <f t="shared" si="6"/>
        <v>199622.81238592835</v>
      </c>
      <c r="F60" s="70">
        <f t="shared" si="5"/>
        <v>279986.36256694945</v>
      </c>
      <c r="G60" s="70">
        <f t="shared" si="3"/>
        <v>7836732.2057161815</v>
      </c>
    </row>
    <row r="61" spans="1:9">
      <c r="A61" s="69"/>
      <c r="B61" s="69" t="s">
        <v>102</v>
      </c>
      <c r="C61" s="70">
        <f t="shared" si="4"/>
        <v>7836732.2057161815</v>
      </c>
      <c r="D61" s="70">
        <f t="shared" si="7"/>
        <v>78367.322057161815</v>
      </c>
      <c r="E61" s="70">
        <f t="shared" si="6"/>
        <v>201619.04050978762</v>
      </c>
      <c r="F61" s="70">
        <f t="shared" si="5"/>
        <v>279986.36256694945</v>
      </c>
      <c r="G61" s="70">
        <f t="shared" si="3"/>
        <v>7635113.1652063942</v>
      </c>
    </row>
    <row r="62" spans="1:9">
      <c r="A62" s="69"/>
      <c r="B62" s="69" t="s">
        <v>103</v>
      </c>
      <c r="C62" s="70">
        <f t="shared" si="4"/>
        <v>7635113.1652063942</v>
      </c>
      <c r="D62" s="70">
        <f t="shared" si="7"/>
        <v>76351.131652063938</v>
      </c>
      <c r="E62" s="70">
        <f t="shared" si="6"/>
        <v>203635.23091488553</v>
      </c>
      <c r="F62" s="70">
        <f t="shared" si="5"/>
        <v>279986.36256694945</v>
      </c>
      <c r="G62" s="70">
        <f t="shared" si="3"/>
        <v>7431477.934291509</v>
      </c>
    </row>
    <row r="63" spans="1:9">
      <c r="A63" s="69"/>
      <c r="B63" s="69" t="s">
        <v>104</v>
      </c>
      <c r="C63" s="70">
        <f t="shared" si="4"/>
        <v>7431477.934291509</v>
      </c>
      <c r="D63" s="70">
        <f t="shared" si="7"/>
        <v>74314.779342915092</v>
      </c>
      <c r="E63" s="70">
        <f t="shared" si="6"/>
        <v>205671.58322403434</v>
      </c>
      <c r="F63" s="70">
        <f t="shared" si="5"/>
        <v>279986.36256694945</v>
      </c>
      <c r="G63" s="70">
        <f t="shared" si="3"/>
        <v>7225806.351067475</v>
      </c>
    </row>
    <row r="64" spans="1:9">
      <c r="A64" s="69"/>
      <c r="B64" s="69" t="s">
        <v>105</v>
      </c>
      <c r="C64" s="70">
        <f t="shared" si="4"/>
        <v>7225806.351067475</v>
      </c>
      <c r="D64" s="70">
        <f t="shared" si="7"/>
        <v>72258.06351067475</v>
      </c>
      <c r="E64" s="70">
        <f t="shared" si="6"/>
        <v>207728.2990562747</v>
      </c>
      <c r="F64" s="70">
        <f t="shared" si="5"/>
        <v>279986.36256694945</v>
      </c>
      <c r="G64" s="70">
        <f t="shared" si="3"/>
        <v>7018078.0520112002</v>
      </c>
    </row>
    <row r="65" spans="1:9">
      <c r="A65" s="69"/>
      <c r="B65" s="69" t="s">
        <v>106</v>
      </c>
      <c r="C65" s="70">
        <f t="shared" si="4"/>
        <v>7018078.0520112002</v>
      </c>
      <c r="D65" s="70">
        <f t="shared" si="7"/>
        <v>70180.780520112006</v>
      </c>
      <c r="E65" s="70">
        <f t="shared" si="6"/>
        <v>209805.58204683743</v>
      </c>
      <c r="F65" s="70">
        <f t="shared" si="5"/>
        <v>279986.36256694945</v>
      </c>
      <c r="G65" s="70">
        <f t="shared" si="3"/>
        <v>6808272.4699643627</v>
      </c>
    </row>
    <row r="66" spans="1:9">
      <c r="A66" s="69"/>
      <c r="B66" s="69" t="s">
        <v>107</v>
      </c>
      <c r="C66" s="70">
        <f t="shared" si="4"/>
        <v>6808272.4699643627</v>
      </c>
      <c r="D66" s="70">
        <f t="shared" si="7"/>
        <v>68082.72469964363</v>
      </c>
      <c r="E66" s="70">
        <f t="shared" si="6"/>
        <v>211903.63786730584</v>
      </c>
      <c r="F66" s="70">
        <f t="shared" si="5"/>
        <v>279986.36256694945</v>
      </c>
      <c r="G66" s="70">
        <f t="shared" si="3"/>
        <v>6596368.8320970573</v>
      </c>
    </row>
    <row r="67" spans="1:9">
      <c r="A67" s="69"/>
      <c r="B67" s="69" t="s">
        <v>108</v>
      </c>
      <c r="C67" s="70">
        <f t="shared" si="4"/>
        <v>6596368.8320970573</v>
      </c>
      <c r="D67" s="70">
        <f t="shared" si="7"/>
        <v>65963.68832097057</v>
      </c>
      <c r="E67" s="70">
        <f t="shared" si="6"/>
        <v>214022.67424597888</v>
      </c>
      <c r="F67" s="70">
        <f t="shared" si="5"/>
        <v>279986.36256694945</v>
      </c>
      <c r="G67" s="70">
        <f t="shared" si="3"/>
        <v>6382346.1578510785</v>
      </c>
    </row>
    <row r="68" spans="1:9">
      <c r="A68" s="69"/>
      <c r="B68" s="69" t="s">
        <v>109</v>
      </c>
      <c r="C68" s="70">
        <f t="shared" si="4"/>
        <v>6382346.1578510785</v>
      </c>
      <c r="D68" s="70">
        <f t="shared" si="7"/>
        <v>63823.461578510782</v>
      </c>
      <c r="E68" s="70">
        <f t="shared" si="6"/>
        <v>216162.90098843866</v>
      </c>
      <c r="F68" s="70">
        <f t="shared" si="5"/>
        <v>279986.36256694945</v>
      </c>
      <c r="G68" s="70">
        <f t="shared" si="3"/>
        <v>6166183.2568626394</v>
      </c>
    </row>
    <row r="69" spans="1:9">
      <c r="A69" s="69"/>
      <c r="B69" s="69" t="s">
        <v>110</v>
      </c>
      <c r="C69" s="70">
        <f t="shared" si="4"/>
        <v>6166183.2568626394</v>
      </c>
      <c r="D69" s="70">
        <f t="shared" si="7"/>
        <v>61661.832568626392</v>
      </c>
      <c r="E69" s="70">
        <f t="shared" si="6"/>
        <v>218324.52999832307</v>
      </c>
      <c r="F69" s="70">
        <f t="shared" si="5"/>
        <v>279986.36256694945</v>
      </c>
      <c r="G69" s="70">
        <f t="shared" si="3"/>
        <v>5947858.7268643165</v>
      </c>
      <c r="H69" s="1"/>
      <c r="I69" s="1"/>
    </row>
    <row r="70" spans="1:9">
      <c r="A70" s="69" t="s">
        <v>16</v>
      </c>
      <c r="B70" s="69" t="s">
        <v>111</v>
      </c>
      <c r="C70" s="70">
        <f t="shared" ref="C70:C93" si="8">G69</f>
        <v>5947858.7268643165</v>
      </c>
      <c r="D70" s="70">
        <f t="shared" ref="D70:D93" si="9">C70*$D$5/12</f>
        <v>59478.587268643161</v>
      </c>
      <c r="E70" s="70">
        <f t="shared" ref="E70:E93" si="10">F70-D70</f>
        <v>220507.77529830628</v>
      </c>
      <c r="F70" s="70">
        <f t="shared" si="5"/>
        <v>279986.36256694945</v>
      </c>
      <c r="G70" s="70">
        <f t="shared" ref="G70:G93" si="11">C70-E70</f>
        <v>5727350.9515660098</v>
      </c>
    </row>
    <row r="71" spans="1:9">
      <c r="A71" s="69"/>
      <c r="B71" s="69" t="s">
        <v>112</v>
      </c>
      <c r="C71" s="70">
        <f t="shared" si="8"/>
        <v>5727350.9515660098</v>
      </c>
      <c r="D71" s="70">
        <f t="shared" si="9"/>
        <v>57273.509515660095</v>
      </c>
      <c r="E71" s="70">
        <f t="shared" si="10"/>
        <v>222712.85305128936</v>
      </c>
      <c r="F71" s="70">
        <f t="shared" si="5"/>
        <v>279986.36256694945</v>
      </c>
      <c r="G71" s="70">
        <f t="shared" si="11"/>
        <v>5504638.0985147208</v>
      </c>
    </row>
    <row r="72" spans="1:9">
      <c r="A72" s="69"/>
      <c r="B72" s="69" t="s">
        <v>113</v>
      </c>
      <c r="C72" s="70">
        <f t="shared" si="8"/>
        <v>5504638.0985147208</v>
      </c>
      <c r="D72" s="70">
        <f t="shared" si="9"/>
        <v>55046.380985147203</v>
      </c>
      <c r="E72" s="70">
        <f t="shared" si="10"/>
        <v>224939.98158180225</v>
      </c>
      <c r="F72" s="70">
        <f t="shared" si="5"/>
        <v>279986.36256694945</v>
      </c>
      <c r="G72" s="70">
        <f t="shared" si="11"/>
        <v>5279698.1169329183</v>
      </c>
    </row>
    <row r="73" spans="1:9">
      <c r="A73" s="69"/>
      <c r="B73" s="69" t="s">
        <v>114</v>
      </c>
      <c r="C73" s="70">
        <f t="shared" si="8"/>
        <v>5279698.1169329183</v>
      </c>
      <c r="D73" s="70">
        <f t="shared" si="9"/>
        <v>52796.981169329178</v>
      </c>
      <c r="E73" s="70">
        <f t="shared" si="10"/>
        <v>227189.38139762028</v>
      </c>
      <c r="F73" s="70">
        <f t="shared" si="5"/>
        <v>279986.36256694945</v>
      </c>
      <c r="G73" s="70">
        <f t="shared" si="11"/>
        <v>5052508.7355352985</v>
      </c>
    </row>
    <row r="74" spans="1:9">
      <c r="A74" s="69"/>
      <c r="B74" s="69" t="s">
        <v>115</v>
      </c>
      <c r="C74" s="70">
        <f t="shared" si="8"/>
        <v>5052508.7355352985</v>
      </c>
      <c r="D74" s="70">
        <f t="shared" si="9"/>
        <v>50525.087355352989</v>
      </c>
      <c r="E74" s="70">
        <f t="shared" si="10"/>
        <v>229461.27521159645</v>
      </c>
      <c r="F74" s="70">
        <f t="shared" si="5"/>
        <v>279986.36256694945</v>
      </c>
      <c r="G74" s="70">
        <f t="shared" si="11"/>
        <v>4823047.4603237016</v>
      </c>
    </row>
    <row r="75" spans="1:9">
      <c r="A75" s="69"/>
      <c r="B75" s="69" t="s">
        <v>116</v>
      </c>
      <c r="C75" s="70">
        <f t="shared" si="8"/>
        <v>4823047.4603237016</v>
      </c>
      <c r="D75" s="70">
        <f t="shared" si="9"/>
        <v>48230.474603237009</v>
      </c>
      <c r="E75" s="70">
        <f t="shared" si="10"/>
        <v>231755.88796371245</v>
      </c>
      <c r="F75" s="70">
        <f t="shared" si="5"/>
        <v>279986.36256694945</v>
      </c>
      <c r="G75" s="70">
        <f t="shared" si="11"/>
        <v>4591291.5723599894</v>
      </c>
    </row>
    <row r="76" spans="1:9">
      <c r="A76" s="69"/>
      <c r="B76" s="69" t="s">
        <v>117</v>
      </c>
      <c r="C76" s="70">
        <f t="shared" si="8"/>
        <v>4591291.5723599894</v>
      </c>
      <c r="D76" s="70">
        <f t="shared" si="9"/>
        <v>45912.915723599894</v>
      </c>
      <c r="E76" s="70">
        <f t="shared" si="10"/>
        <v>234073.44684334955</v>
      </c>
      <c r="F76" s="70">
        <f t="shared" si="5"/>
        <v>279986.36256694945</v>
      </c>
      <c r="G76" s="70">
        <f t="shared" si="11"/>
        <v>4357218.12551664</v>
      </c>
    </row>
    <row r="77" spans="1:9">
      <c r="A77" s="69"/>
      <c r="B77" s="69" t="s">
        <v>118</v>
      </c>
      <c r="C77" s="70">
        <f t="shared" si="8"/>
        <v>4357218.12551664</v>
      </c>
      <c r="D77" s="70">
        <f t="shared" si="9"/>
        <v>43572.181255166397</v>
      </c>
      <c r="E77" s="70">
        <f t="shared" si="10"/>
        <v>236414.18131178306</v>
      </c>
      <c r="F77" s="70">
        <f t="shared" si="5"/>
        <v>279986.36256694945</v>
      </c>
      <c r="G77" s="70">
        <f t="shared" si="11"/>
        <v>4120803.9442048571</v>
      </c>
    </row>
    <row r="78" spans="1:9">
      <c r="A78" s="69"/>
      <c r="B78" s="69" t="s">
        <v>119</v>
      </c>
      <c r="C78" s="70">
        <f t="shared" si="8"/>
        <v>4120803.9442048571</v>
      </c>
      <c r="D78" s="70">
        <f t="shared" si="9"/>
        <v>41208.039442048568</v>
      </c>
      <c r="E78" s="70">
        <f t="shared" si="10"/>
        <v>238778.32312490087</v>
      </c>
      <c r="F78" s="70">
        <f t="shared" si="5"/>
        <v>279986.36256694945</v>
      </c>
      <c r="G78" s="70">
        <f t="shared" si="11"/>
        <v>3882025.6210799562</v>
      </c>
    </row>
    <row r="79" spans="1:9">
      <c r="A79" s="69"/>
      <c r="B79" s="69" t="s">
        <v>120</v>
      </c>
      <c r="C79" s="70">
        <f t="shared" si="8"/>
        <v>3882025.6210799562</v>
      </c>
      <c r="D79" s="70">
        <f t="shared" si="9"/>
        <v>38820.256210799562</v>
      </c>
      <c r="E79" s="70">
        <f t="shared" si="10"/>
        <v>241166.10635614989</v>
      </c>
      <c r="F79" s="70">
        <f t="shared" si="5"/>
        <v>279986.36256694945</v>
      </c>
      <c r="G79" s="70">
        <f t="shared" si="11"/>
        <v>3640859.5147238062</v>
      </c>
    </row>
    <row r="80" spans="1:9">
      <c r="A80" s="69"/>
      <c r="B80" s="69" t="s">
        <v>121</v>
      </c>
      <c r="C80" s="70">
        <f t="shared" si="8"/>
        <v>3640859.5147238062</v>
      </c>
      <c r="D80" s="70">
        <f t="shared" si="9"/>
        <v>36408.595147238062</v>
      </c>
      <c r="E80" s="70">
        <f t="shared" si="10"/>
        <v>243577.7674197114</v>
      </c>
      <c r="F80" s="70">
        <f t="shared" ref="F80:F93" si="12">$D$8</f>
        <v>279986.36256694945</v>
      </c>
      <c r="G80" s="70">
        <f t="shared" si="11"/>
        <v>3397281.747304095</v>
      </c>
    </row>
    <row r="81" spans="1:9">
      <c r="A81" s="69"/>
      <c r="B81" s="69" t="s">
        <v>122</v>
      </c>
      <c r="C81" s="70">
        <f t="shared" si="8"/>
        <v>3397281.747304095</v>
      </c>
      <c r="D81" s="70">
        <f t="shared" si="9"/>
        <v>33972.817473040945</v>
      </c>
      <c r="E81" s="70">
        <f t="shared" si="10"/>
        <v>246013.5450939085</v>
      </c>
      <c r="F81" s="70">
        <f t="shared" si="12"/>
        <v>279986.36256694945</v>
      </c>
      <c r="G81" s="70">
        <f t="shared" si="11"/>
        <v>3151268.2022101865</v>
      </c>
      <c r="H81" s="1"/>
      <c r="I81" s="1"/>
    </row>
    <row r="82" spans="1:9">
      <c r="A82" s="69" t="s">
        <v>281</v>
      </c>
      <c r="B82" s="69" t="s">
        <v>216</v>
      </c>
      <c r="C82" s="70">
        <f t="shared" si="8"/>
        <v>3151268.2022101865</v>
      </c>
      <c r="D82" s="70">
        <f t="shared" si="9"/>
        <v>31512.682022101861</v>
      </c>
      <c r="E82" s="70">
        <f t="shared" si="10"/>
        <v>248473.68054484759</v>
      </c>
      <c r="F82" s="70">
        <f t="shared" si="12"/>
        <v>279986.36256694945</v>
      </c>
      <c r="G82" s="70">
        <f t="shared" si="11"/>
        <v>2902794.5216653389</v>
      </c>
    </row>
    <row r="83" spans="1:9">
      <c r="A83" s="69"/>
      <c r="B83" s="69" t="s">
        <v>217</v>
      </c>
      <c r="C83" s="70">
        <f t="shared" si="8"/>
        <v>2902794.5216653389</v>
      </c>
      <c r="D83" s="70">
        <f t="shared" si="9"/>
        <v>29027.945216653388</v>
      </c>
      <c r="E83" s="70">
        <f t="shared" si="10"/>
        <v>250958.41735029605</v>
      </c>
      <c r="F83" s="70">
        <f t="shared" si="12"/>
        <v>279986.36256694945</v>
      </c>
      <c r="G83" s="70">
        <f t="shared" si="11"/>
        <v>2651836.104315043</v>
      </c>
    </row>
    <row r="84" spans="1:9">
      <c r="A84" s="69"/>
      <c r="B84" s="69" t="s">
        <v>218</v>
      </c>
      <c r="C84" s="70">
        <f t="shared" si="8"/>
        <v>2651836.104315043</v>
      </c>
      <c r="D84" s="70">
        <f t="shared" si="9"/>
        <v>26518.361043150431</v>
      </c>
      <c r="E84" s="70">
        <f t="shared" si="10"/>
        <v>253468.00152379903</v>
      </c>
      <c r="F84" s="70">
        <f t="shared" si="12"/>
        <v>279986.36256694945</v>
      </c>
      <c r="G84" s="70">
        <f t="shared" si="11"/>
        <v>2398368.1027912442</v>
      </c>
    </row>
    <row r="85" spans="1:9">
      <c r="A85" s="69"/>
      <c r="B85" s="69" t="s">
        <v>219</v>
      </c>
      <c r="C85" s="70">
        <f t="shared" si="8"/>
        <v>2398368.1027912442</v>
      </c>
      <c r="D85" s="70">
        <f t="shared" si="9"/>
        <v>23983.681027912444</v>
      </c>
      <c r="E85" s="70">
        <f t="shared" si="10"/>
        <v>256002.681539037</v>
      </c>
      <c r="F85" s="70">
        <f t="shared" si="12"/>
        <v>279986.36256694945</v>
      </c>
      <c r="G85" s="70">
        <f t="shared" si="11"/>
        <v>2142365.4212522074</v>
      </c>
    </row>
    <row r="86" spans="1:9">
      <c r="A86" s="69"/>
      <c r="B86" s="69" t="s">
        <v>220</v>
      </c>
      <c r="C86" s="70">
        <f t="shared" si="8"/>
        <v>2142365.4212522074</v>
      </c>
      <c r="D86" s="70">
        <f t="shared" si="9"/>
        <v>21423.654212522073</v>
      </c>
      <c r="E86" s="70">
        <f t="shared" si="10"/>
        <v>258562.70835442736</v>
      </c>
      <c r="F86" s="70">
        <f t="shared" si="12"/>
        <v>279986.36256694945</v>
      </c>
      <c r="G86" s="70">
        <f t="shared" si="11"/>
        <v>1883802.7128977799</v>
      </c>
    </row>
    <row r="87" spans="1:9">
      <c r="A87" s="69"/>
      <c r="B87" s="69" t="s">
        <v>221</v>
      </c>
      <c r="C87" s="70">
        <f t="shared" si="8"/>
        <v>1883802.7128977799</v>
      </c>
      <c r="D87" s="70">
        <f t="shared" si="9"/>
        <v>18838.027128977799</v>
      </c>
      <c r="E87" s="70">
        <f t="shared" si="10"/>
        <v>261148.33543797166</v>
      </c>
      <c r="F87" s="70">
        <f t="shared" si="12"/>
        <v>279986.36256694945</v>
      </c>
      <c r="G87" s="70">
        <f t="shared" si="11"/>
        <v>1622654.3774598083</v>
      </c>
    </row>
    <row r="88" spans="1:9">
      <c r="A88" s="69"/>
      <c r="B88" s="69" t="s">
        <v>222</v>
      </c>
      <c r="C88" s="70">
        <f t="shared" si="8"/>
        <v>1622654.3774598083</v>
      </c>
      <c r="D88" s="70">
        <f t="shared" si="9"/>
        <v>16226.543774598082</v>
      </c>
      <c r="E88" s="70">
        <f t="shared" si="10"/>
        <v>263759.81879235135</v>
      </c>
      <c r="F88" s="70">
        <f t="shared" si="12"/>
        <v>279986.36256694945</v>
      </c>
      <c r="G88" s="70">
        <f t="shared" si="11"/>
        <v>1358894.558667457</v>
      </c>
    </row>
    <row r="89" spans="1:9">
      <c r="A89" s="69"/>
      <c r="B89" s="69" t="s">
        <v>223</v>
      </c>
      <c r="C89" s="70">
        <f t="shared" si="8"/>
        <v>1358894.558667457</v>
      </c>
      <c r="D89" s="70">
        <f t="shared" si="9"/>
        <v>13588.94558667457</v>
      </c>
      <c r="E89" s="70">
        <f t="shared" si="10"/>
        <v>266397.41698027489</v>
      </c>
      <c r="F89" s="70">
        <f t="shared" si="12"/>
        <v>279986.36256694945</v>
      </c>
      <c r="G89" s="70">
        <f t="shared" si="11"/>
        <v>1092497.141687182</v>
      </c>
    </row>
    <row r="90" spans="1:9">
      <c r="A90" s="69"/>
      <c r="B90" s="69" t="s">
        <v>224</v>
      </c>
      <c r="C90" s="70">
        <f t="shared" si="8"/>
        <v>1092497.141687182</v>
      </c>
      <c r="D90" s="70">
        <f t="shared" si="9"/>
        <v>10924.97141687182</v>
      </c>
      <c r="E90" s="70">
        <f t="shared" si="10"/>
        <v>269061.39115007763</v>
      </c>
      <c r="F90" s="70">
        <f t="shared" si="12"/>
        <v>279986.36256694945</v>
      </c>
      <c r="G90" s="70">
        <f t="shared" si="11"/>
        <v>823435.75053710444</v>
      </c>
    </row>
    <row r="91" spans="1:9">
      <c r="A91" s="69"/>
      <c r="B91" s="69" t="s">
        <v>225</v>
      </c>
      <c r="C91" s="70">
        <f t="shared" si="8"/>
        <v>823435.75053710444</v>
      </c>
      <c r="D91" s="70">
        <f t="shared" si="9"/>
        <v>8234.3575053710447</v>
      </c>
      <c r="E91" s="70">
        <f t="shared" si="10"/>
        <v>271752.00506157841</v>
      </c>
      <c r="F91" s="70">
        <f t="shared" si="12"/>
        <v>279986.36256694945</v>
      </c>
      <c r="G91" s="70">
        <f t="shared" si="11"/>
        <v>551683.74547552597</v>
      </c>
    </row>
    <row r="92" spans="1:9">
      <c r="A92" s="69"/>
      <c r="B92" s="69" t="s">
        <v>226</v>
      </c>
      <c r="C92" s="70">
        <f t="shared" si="8"/>
        <v>551683.74547552597</v>
      </c>
      <c r="D92" s="70">
        <f t="shared" si="9"/>
        <v>5516.8374547552594</v>
      </c>
      <c r="E92" s="70">
        <f t="shared" si="10"/>
        <v>274469.52511219418</v>
      </c>
      <c r="F92" s="70">
        <f t="shared" si="12"/>
        <v>279986.36256694945</v>
      </c>
      <c r="G92" s="70">
        <f t="shared" si="11"/>
        <v>277214.22036333178</v>
      </c>
    </row>
    <row r="93" spans="1:9">
      <c r="A93" s="69"/>
      <c r="B93" s="69" t="s">
        <v>227</v>
      </c>
      <c r="C93" s="70">
        <f t="shared" si="8"/>
        <v>277214.22036333178</v>
      </c>
      <c r="D93" s="70">
        <f t="shared" si="9"/>
        <v>2772.1422036333174</v>
      </c>
      <c r="E93" s="70">
        <f t="shared" si="10"/>
        <v>277214.22036331613</v>
      </c>
      <c r="F93" s="70">
        <f t="shared" si="12"/>
        <v>279986.36256694945</v>
      </c>
      <c r="G93" s="70">
        <f t="shared" si="11"/>
        <v>1.5657860785722733E-8</v>
      </c>
    </row>
    <row r="94" spans="1:9">
      <c r="A94" s="68"/>
      <c r="B94" s="68"/>
      <c r="C94" s="68"/>
      <c r="D94" s="75">
        <f>SUM(D10:D93)</f>
        <v>7631708.2570468681</v>
      </c>
      <c r="E94" s="75">
        <f>SUM(E10:E93)</f>
        <v>15114072.365079984</v>
      </c>
      <c r="F94" s="68"/>
      <c r="G94" s="68"/>
    </row>
    <row r="95" spans="1:9" ht="51.75" customHeight="1">
      <c r="A95" s="802" t="s">
        <v>420</v>
      </c>
      <c r="B95" s="802"/>
      <c r="C95" s="802"/>
      <c r="D95" s="802"/>
      <c r="E95" s="802"/>
      <c r="F95" s="802"/>
      <c r="G95" s="802"/>
      <c r="H95" s="411"/>
    </row>
    <row r="96" spans="1:9">
      <c r="A96" t="s">
        <v>531</v>
      </c>
    </row>
    <row r="97" spans="1:2">
      <c r="A97">
        <v>1</v>
      </c>
      <c r="B97" t="s">
        <v>532</v>
      </c>
    </row>
    <row r="98" spans="1:2">
      <c r="A98">
        <v>2</v>
      </c>
      <c r="B98" t="s">
        <v>533</v>
      </c>
    </row>
  </sheetData>
  <mergeCells count="2">
    <mergeCell ref="A2:G2"/>
    <mergeCell ref="A95:G95"/>
  </mergeCells>
  <pageMargins left="1" right="0.25" top="0.75" bottom="0.75" header="0.3" footer="0.3"/>
  <pageSetup scale="6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63"/>
  <sheetViews>
    <sheetView view="pageBreakPreview" topLeftCell="D21" zoomScale="85" zoomScaleSheetLayoutView="85" workbookViewId="0">
      <selection activeCell="E30" sqref="E30:K30"/>
    </sheetView>
  </sheetViews>
  <sheetFormatPr defaultRowHeight="15"/>
  <cols>
    <col min="2" max="2" width="7.5703125" bestFit="1" customWidth="1"/>
    <col min="3" max="3" width="30.5703125" customWidth="1"/>
    <col min="4" max="4" width="16.85546875" bestFit="1" customWidth="1"/>
    <col min="5" max="5" width="13.28515625" customWidth="1"/>
    <col min="6" max="6" width="16" bestFit="1" customWidth="1"/>
    <col min="7" max="7" width="20.42578125" bestFit="1" customWidth="1"/>
    <col min="8" max="8" width="23.140625" bestFit="1" customWidth="1"/>
    <col min="9" max="9" width="26.85546875" bestFit="1" customWidth="1"/>
    <col min="10" max="10" width="29.42578125" bestFit="1" customWidth="1"/>
    <col min="11" max="11" width="32.140625" bestFit="1" customWidth="1"/>
    <col min="13" max="13" width="11.28515625" bestFit="1" customWidth="1"/>
    <col min="14" max="14" width="24" hidden="1" customWidth="1"/>
    <col min="15" max="15" width="11.85546875" hidden="1" customWidth="1"/>
    <col min="16" max="16" width="9.5703125" hidden="1" customWidth="1"/>
    <col min="17" max="17" width="10.85546875" hidden="1" customWidth="1"/>
    <col min="18" max="18" width="11.28515625" hidden="1" customWidth="1"/>
    <col min="19" max="20" width="0" hidden="1" customWidth="1"/>
    <col min="21" max="21" width="24" hidden="1" customWidth="1"/>
    <col min="22" max="22" width="12.5703125" hidden="1" customWidth="1"/>
    <col min="23" max="23" width="0" hidden="1" customWidth="1"/>
  </cols>
  <sheetData>
    <row r="2" spans="3:24" ht="18.75">
      <c r="C2" s="724" t="s">
        <v>1994</v>
      </c>
      <c r="D2" s="724"/>
      <c r="E2" s="724"/>
      <c r="F2" s="724"/>
      <c r="G2" s="724"/>
      <c r="H2" s="724"/>
      <c r="I2" s="724"/>
      <c r="J2" s="724"/>
      <c r="K2" s="724"/>
      <c r="L2" s="169"/>
    </row>
    <row r="4" spans="3:24">
      <c r="C4" s="59" t="s">
        <v>0</v>
      </c>
      <c r="D4" s="59"/>
      <c r="E4" s="60" t="s">
        <v>2</v>
      </c>
      <c r="F4" s="60" t="s">
        <v>3</v>
      </c>
      <c r="G4" s="60" t="s">
        <v>4</v>
      </c>
      <c r="H4" s="60" t="s">
        <v>5</v>
      </c>
      <c r="I4" s="60" t="s">
        <v>6</v>
      </c>
      <c r="J4" s="60" t="s">
        <v>170</v>
      </c>
      <c r="K4" s="60" t="s">
        <v>169</v>
      </c>
      <c r="L4" s="68"/>
      <c r="M4" s="68"/>
      <c r="N4" s="187"/>
      <c r="O4" s="187"/>
      <c r="P4" s="187"/>
      <c r="Q4" s="187"/>
      <c r="R4" s="187"/>
      <c r="S4" s="187"/>
      <c r="T4" s="187"/>
      <c r="U4" s="187"/>
      <c r="V4" s="187"/>
    </row>
    <row r="5" spans="3:24">
      <c r="C5" s="69" t="s">
        <v>370</v>
      </c>
      <c r="D5" s="69"/>
      <c r="E5" s="69"/>
      <c r="F5" s="69"/>
      <c r="G5" s="69"/>
      <c r="H5" s="69"/>
      <c r="I5" s="69"/>
      <c r="J5" s="69"/>
      <c r="K5" s="69"/>
      <c r="L5" s="68"/>
      <c r="M5" s="68"/>
      <c r="N5" s="1151" t="s">
        <v>528</v>
      </c>
      <c r="O5" s="1151"/>
      <c r="P5" s="1151"/>
      <c r="Q5" s="1151"/>
      <c r="R5" s="1151"/>
      <c r="S5" s="187"/>
      <c r="T5" s="187"/>
      <c r="U5" s="1151" t="s">
        <v>529</v>
      </c>
      <c r="V5" s="1151"/>
    </row>
    <row r="6" spans="3:24">
      <c r="C6" s="69" t="s">
        <v>371</v>
      </c>
      <c r="D6" s="154"/>
      <c r="E6" s="69"/>
      <c r="F6" s="70">
        <f t="shared" ref="F6:K9" si="0">E15</f>
        <v>0</v>
      </c>
      <c r="G6" s="70">
        <f t="shared" si="0"/>
        <v>0</v>
      </c>
      <c r="H6" s="70">
        <f t="shared" si="0"/>
        <v>0</v>
      </c>
      <c r="I6" s="70">
        <f t="shared" si="0"/>
        <v>0</v>
      </c>
      <c r="J6" s="70">
        <f t="shared" si="0"/>
        <v>0</v>
      </c>
      <c r="K6" s="70">
        <f t="shared" si="0"/>
        <v>0</v>
      </c>
      <c r="L6" s="68"/>
      <c r="M6" s="68"/>
      <c r="N6" s="1150" t="s">
        <v>530</v>
      </c>
      <c r="O6" s="1150"/>
      <c r="P6" s="1150"/>
      <c r="Q6" s="1150"/>
      <c r="R6" s="1150"/>
      <c r="S6" s="187"/>
      <c r="T6" s="187"/>
      <c r="U6" s="1150" t="s">
        <v>530</v>
      </c>
      <c r="V6" s="1150"/>
    </row>
    <row r="7" spans="3:24">
      <c r="C7" s="69" t="s">
        <v>2095</v>
      </c>
      <c r="D7" s="154"/>
      <c r="E7" s="69"/>
      <c r="F7" s="70">
        <f t="shared" si="0"/>
        <v>169205.17163592001</v>
      </c>
      <c r="G7" s="70">
        <f t="shared" si="0"/>
        <v>175888.77591553886</v>
      </c>
      <c r="H7" s="70">
        <f t="shared" si="0"/>
        <v>201472.59786688996</v>
      </c>
      <c r="I7" s="70">
        <f t="shared" si="0"/>
        <v>229175.08007358742</v>
      </c>
      <c r="J7" s="70">
        <f t="shared" si="0"/>
        <v>259144.12900628732</v>
      </c>
      <c r="K7" s="70">
        <f t="shared" si="0"/>
        <v>291537.14513207332</v>
      </c>
      <c r="L7" s="68"/>
      <c r="M7" s="68"/>
      <c r="N7" s="188" t="s">
        <v>0</v>
      </c>
      <c r="O7" s="188" t="s">
        <v>164</v>
      </c>
      <c r="P7" s="188" t="s">
        <v>165</v>
      </c>
      <c r="Q7" s="188" t="s">
        <v>318</v>
      </c>
      <c r="R7" s="188" t="s">
        <v>319</v>
      </c>
      <c r="S7" s="187"/>
      <c r="T7" s="187"/>
      <c r="U7" s="246" t="s">
        <v>0</v>
      </c>
      <c r="V7" s="246" t="s">
        <v>493</v>
      </c>
    </row>
    <row r="8" spans="3:24">
      <c r="C8" s="69" t="s">
        <v>140</v>
      </c>
      <c r="D8" s="154"/>
      <c r="E8" s="69"/>
      <c r="F8" s="70">
        <f t="shared" si="0"/>
        <v>2321090.640160589</v>
      </c>
      <c r="G8" s="70">
        <f t="shared" si="0"/>
        <v>2680859.6893854812</v>
      </c>
      <c r="H8" s="70">
        <f t="shared" si="0"/>
        <v>3070802.9169324604</v>
      </c>
      <c r="I8" s="70">
        <f t="shared" si="0"/>
        <v>3493038.3180106739</v>
      </c>
      <c r="J8" s="70">
        <f t="shared" si="0"/>
        <v>3949820.2519043782</v>
      </c>
      <c r="K8" s="70">
        <f t="shared" si="0"/>
        <v>4443547.7833924256</v>
      </c>
      <c r="L8" s="68"/>
      <c r="M8" s="68"/>
      <c r="N8" s="189" t="s">
        <v>372</v>
      </c>
      <c r="O8" s="189">
        <f>'12.Facility 1 Dal Mill'!C155</f>
        <v>5000</v>
      </c>
      <c r="P8" s="189">
        <f>'12.Facility 1 Dal Mill'!C156</f>
        <v>6500</v>
      </c>
      <c r="Q8" s="189">
        <f>'12.Facility 1 Dal Mill'!C157</f>
        <v>6500</v>
      </c>
      <c r="R8" s="189">
        <f>'12.Facility 1 Dal Mill'!C158</f>
        <v>6800</v>
      </c>
      <c r="S8" s="187"/>
      <c r="T8" s="187"/>
      <c r="U8" s="189" t="s">
        <v>349</v>
      </c>
      <c r="V8" s="189">
        <f>'17.Facility 6 Horti Processing '!C243</f>
        <v>2000</v>
      </c>
    </row>
    <row r="9" spans="3:24" hidden="1">
      <c r="C9" s="69" t="str">
        <f>C18</f>
        <v xml:space="preserve">Horticulture Processing </v>
      </c>
      <c r="D9" s="69"/>
      <c r="E9" s="69"/>
      <c r="F9" s="70">
        <f>E18</f>
        <v>0</v>
      </c>
      <c r="G9" s="70">
        <f t="shared" si="0"/>
        <v>0</v>
      </c>
      <c r="H9" s="70">
        <f t="shared" si="0"/>
        <v>0</v>
      </c>
      <c r="I9" s="70">
        <f t="shared" si="0"/>
        <v>0</v>
      </c>
      <c r="J9" s="70">
        <f t="shared" si="0"/>
        <v>0</v>
      </c>
      <c r="K9" s="70">
        <f t="shared" si="0"/>
        <v>0</v>
      </c>
      <c r="L9" s="68"/>
      <c r="M9" s="68"/>
      <c r="N9" s="189" t="str">
        <f>'12.Facility 1 Dal Mill'!A159</f>
        <v>Oil (Liters)</v>
      </c>
      <c r="O9" s="189">
        <f>('12.Facility 1 Dal Mill'!B159*'12.Facility 1 Dal Mill'!C159/1000)*100</f>
        <v>20</v>
      </c>
      <c r="P9" s="189">
        <f t="shared" ref="P9:R13" si="1">O9</f>
        <v>20</v>
      </c>
      <c r="Q9" s="189">
        <f t="shared" si="1"/>
        <v>20</v>
      </c>
      <c r="R9" s="189">
        <f t="shared" si="1"/>
        <v>20</v>
      </c>
      <c r="S9" s="187"/>
      <c r="T9" s="187"/>
      <c r="U9" s="189">
        <f>'17.Facility 6 Horti Processing '!A275</f>
        <v>0</v>
      </c>
      <c r="V9" s="190">
        <f>'17.Facility 6 Horti Processing '!C275</f>
        <v>0</v>
      </c>
    </row>
    <row r="10" spans="3:24">
      <c r="C10" s="69"/>
      <c r="D10" s="69"/>
      <c r="E10" s="69"/>
      <c r="F10" s="70"/>
      <c r="G10" s="70"/>
      <c r="H10" s="70"/>
      <c r="I10" s="70"/>
      <c r="J10" s="70"/>
      <c r="K10" s="70"/>
      <c r="L10" s="68"/>
      <c r="M10" s="68"/>
      <c r="N10" s="189" t="str">
        <f>'12.Facility 1 Dal Mill'!A160</f>
        <v xml:space="preserve">Daily Labour </v>
      </c>
      <c r="O10" s="191">
        <f>('12.Facility 1 Dal Mill'!B160*'12.Facility 1 Dal Mill'!C160)/('12.Facility 1 Dal Mill'!B5*'12.Facility 1 Dal Mill'!B6)</f>
        <v>40</v>
      </c>
      <c r="P10" s="191">
        <f t="shared" si="1"/>
        <v>40</v>
      </c>
      <c r="Q10" s="191">
        <f t="shared" si="1"/>
        <v>40</v>
      </c>
      <c r="R10" s="191">
        <f t="shared" si="1"/>
        <v>40</v>
      </c>
      <c r="S10" s="187"/>
      <c r="T10" s="187"/>
      <c r="U10" s="189" t="str">
        <f>'17.Facility 6 Horti Processing '!A276</f>
        <v xml:space="preserve">Daily Labour </v>
      </c>
      <c r="V10" s="190">
        <f>'17.Facility 6 Horti Processing '!B276*'17.Facility 6 Horti Processing '!C276/('17.Facility 6 Horti Processing '!B5*'17.Facility 6 Horti Processing '!B6)</f>
        <v>40</v>
      </c>
    </row>
    <row r="11" spans="3:24">
      <c r="C11" s="69"/>
      <c r="D11" s="69"/>
      <c r="E11" s="69"/>
      <c r="F11" s="70"/>
      <c r="G11" s="70"/>
      <c r="H11" s="70"/>
      <c r="I11" s="70"/>
      <c r="J11" s="70"/>
      <c r="K11" s="70"/>
      <c r="L11" s="68"/>
      <c r="M11" s="68"/>
      <c r="N11" s="189" t="str">
        <f>'12.Facility 1 Dal Mill'!A161</f>
        <v>Electricity Charges</v>
      </c>
      <c r="O11" s="191">
        <f>('12.Facility 1 Dal Mill'!B161*'12.Facility 1 Dal Mill'!C161)/('12.Facility 1 Dal Mill'!B5*'12.Facility 1 Dal Mill'!B6)</f>
        <v>39.786666666666669</v>
      </c>
      <c r="P11" s="191">
        <f t="shared" si="1"/>
        <v>39.786666666666669</v>
      </c>
      <c r="Q11" s="191">
        <f t="shared" si="1"/>
        <v>39.786666666666669</v>
      </c>
      <c r="R11" s="191">
        <f t="shared" si="1"/>
        <v>39.786666666666669</v>
      </c>
      <c r="S11" s="187"/>
      <c r="T11" s="187"/>
      <c r="U11" s="189" t="str">
        <f>'17.Facility 6 Horti Processing '!A278</f>
        <v>Electricity Charges</v>
      </c>
      <c r="V11" s="189">
        <f>'17.Facility 6 Horti Processing '!B278*'17.Facility 6 Horti Processing '!C278/('17.Facility 6 Horti Processing '!B5*'17.Facility 6 Horti Processing '!B6)</f>
        <v>15.3</v>
      </c>
    </row>
    <row r="12" spans="3:24">
      <c r="C12" s="69" t="s">
        <v>1</v>
      </c>
      <c r="D12" s="69"/>
      <c r="E12" s="70"/>
      <c r="F12" s="70">
        <f t="shared" ref="F12:K12" si="2">SUM(F6:F11)</f>
        <v>2490295.8117965092</v>
      </c>
      <c r="G12" s="70">
        <f t="shared" si="2"/>
        <v>2856748.4653010201</v>
      </c>
      <c r="H12" s="70">
        <f t="shared" si="2"/>
        <v>3272275.5147993504</v>
      </c>
      <c r="I12" s="70">
        <f t="shared" si="2"/>
        <v>3722213.3980842615</v>
      </c>
      <c r="J12" s="70">
        <f t="shared" si="2"/>
        <v>4208964.3809106657</v>
      </c>
      <c r="K12" s="70">
        <f t="shared" si="2"/>
        <v>4735084.9285244988</v>
      </c>
      <c r="L12" s="68"/>
      <c r="M12" s="68"/>
      <c r="N12" s="189" t="e">
        <f>'12.Facility 1 Dal Mill'!#REF!</f>
        <v>#REF!</v>
      </c>
      <c r="O12" s="189" t="e">
        <f>'12.Facility 1 Dal Mill'!#REF!*2</f>
        <v>#REF!</v>
      </c>
      <c r="P12" s="189" t="e">
        <f t="shared" si="1"/>
        <v>#REF!</v>
      </c>
      <c r="Q12" s="189" t="e">
        <f t="shared" si="1"/>
        <v>#REF!</v>
      </c>
      <c r="R12" s="189" t="e">
        <f t="shared" si="1"/>
        <v>#REF!</v>
      </c>
      <c r="S12" s="187"/>
      <c r="T12" s="187"/>
      <c r="U12" s="189" t="str">
        <f>'17.Facility 6 Horti Processing '!A279</f>
        <v>Loading/Unloading Charges</v>
      </c>
      <c r="V12" s="189">
        <f>'17.Facility 6 Horti Processing '!C279</f>
        <v>20</v>
      </c>
    </row>
    <row r="13" spans="3:24">
      <c r="C13" s="69"/>
      <c r="D13" s="69"/>
      <c r="E13" s="69"/>
      <c r="F13" s="70"/>
      <c r="G13" s="70"/>
      <c r="H13" s="70"/>
      <c r="I13" s="70"/>
      <c r="J13" s="70"/>
      <c r="K13" s="70"/>
      <c r="L13" s="68"/>
      <c r="M13" s="68"/>
      <c r="N13" s="189" t="str">
        <f>'12.Facility 1 Dal Mill'!A162</f>
        <v xml:space="preserve">packaging Exp </v>
      </c>
      <c r="O13" s="189">
        <f>'12.Facility 1 Dal Mill'!C162*2</f>
        <v>50</v>
      </c>
      <c r="P13" s="189">
        <f t="shared" si="1"/>
        <v>50</v>
      </c>
      <c r="Q13" s="189">
        <f t="shared" si="1"/>
        <v>50</v>
      </c>
      <c r="R13" s="189">
        <f t="shared" si="1"/>
        <v>50</v>
      </c>
      <c r="S13" s="187"/>
      <c r="T13" s="187"/>
      <c r="U13" s="189" t="str">
        <f>'17.Facility 6 Horti Processing '!A280</f>
        <v>packaging Exp</v>
      </c>
      <c r="V13" s="9">
        <f>'17.Facility 6 Horti Processing '!C280*100</f>
        <v>15000</v>
      </c>
    </row>
    <row r="14" spans="3:24">
      <c r="C14" s="71" t="s">
        <v>351</v>
      </c>
      <c r="D14" s="69"/>
      <c r="E14" s="69"/>
      <c r="F14" s="70"/>
      <c r="G14" s="70"/>
      <c r="H14" s="70"/>
      <c r="I14" s="70"/>
      <c r="J14" s="70"/>
      <c r="K14" s="70"/>
      <c r="L14" s="68"/>
      <c r="M14" s="68"/>
      <c r="N14" s="189"/>
      <c r="O14" s="9"/>
      <c r="P14" s="9"/>
      <c r="Q14" s="9"/>
      <c r="R14" s="9"/>
      <c r="S14" s="187"/>
      <c r="T14" s="187"/>
      <c r="U14" s="9"/>
      <c r="V14" s="9"/>
      <c r="X14">
        <f>+M14/300</f>
        <v>0</v>
      </c>
    </row>
    <row r="15" spans="3:24">
      <c r="C15" s="69" t="str">
        <f>C6</f>
        <v>Agri Input</v>
      </c>
      <c r="D15" s="154">
        <v>0.03</v>
      </c>
      <c r="E15" s="70">
        <f>SUM('16.Facility 5 Agri Input'!D197:D252)*$D$15</f>
        <v>0</v>
      </c>
      <c r="F15" s="70">
        <f>SUM('16.Facility 5 Agri Input'!E197:E252)*$D$15</f>
        <v>0</v>
      </c>
      <c r="G15" s="70">
        <f>SUM('16.Facility 5 Agri Input'!F197:F252)*$D$15</f>
        <v>0</v>
      </c>
      <c r="H15" s="70">
        <f>SUM('16.Facility 5 Agri Input'!G197:G252)*$D$15</f>
        <v>0</v>
      </c>
      <c r="I15" s="70">
        <f>SUM('16.Facility 5 Agri Input'!H197:H252)*$D$15</f>
        <v>0</v>
      </c>
      <c r="J15" s="70">
        <f>SUM('16.Facility 5 Agri Input'!I197:I252)*$D$15</f>
        <v>0</v>
      </c>
      <c r="K15" s="70">
        <f>SUM('16.Facility 5 Agri Input'!J197:J252)*$D$15</f>
        <v>0</v>
      </c>
      <c r="L15" s="68"/>
      <c r="M15" s="291">
        <f>+E15</f>
        <v>0</v>
      </c>
      <c r="N15" s="9"/>
      <c r="O15" s="9"/>
      <c r="P15" s="9"/>
      <c r="Q15" s="9"/>
      <c r="R15" s="9"/>
      <c r="U15" s="9"/>
      <c r="V15" s="9"/>
      <c r="X15" t="e">
        <f>+M15/X14</f>
        <v>#DIV/0!</v>
      </c>
    </row>
    <row r="16" spans="3:24">
      <c r="C16" s="69" t="s">
        <v>2095</v>
      </c>
      <c r="D16" s="154">
        <v>0.05</v>
      </c>
      <c r="E16" s="70">
        <f>SUM('13.Facility 2 - Besan'!D226:D265)*$D$16</f>
        <v>169205.17163592001</v>
      </c>
      <c r="F16" s="70">
        <f>SUM('13.Facility 2 - Besan'!E226:E265)*$D$16</f>
        <v>175888.77591553886</v>
      </c>
      <c r="G16" s="70">
        <f>SUM('13.Facility 2 - Besan'!F226:F265)*$D$16</f>
        <v>201472.59786688996</v>
      </c>
      <c r="H16" s="70">
        <f>SUM('13.Facility 2 - Besan'!G226:G265)*$D$16</f>
        <v>229175.08007358742</v>
      </c>
      <c r="I16" s="70">
        <f>SUM('13.Facility 2 - Besan'!H226:H265)*$D$16</f>
        <v>259144.12900628732</v>
      </c>
      <c r="J16" s="70">
        <f>SUM('13.Facility 2 - Besan'!I226:I265)*$D$16</f>
        <v>291537.14513207332</v>
      </c>
      <c r="K16" s="70">
        <f>SUM('13.Facility 2 - Besan'!J226:J265)*$D$16</f>
        <v>326521.60254792206</v>
      </c>
      <c r="L16" s="68"/>
      <c r="M16" s="83" t="e">
        <f>+M14/M15</f>
        <v>#DIV/0!</v>
      </c>
      <c r="N16" s="188" t="s">
        <v>373</v>
      </c>
      <c r="O16" s="192" t="e">
        <f>SUM(O8:O13)</f>
        <v>#REF!</v>
      </c>
      <c r="P16" s="192" t="e">
        <f>SUM(P8:P13)</f>
        <v>#REF!</v>
      </c>
      <c r="Q16" s="192" t="e">
        <f>SUM(Q8:Q13)</f>
        <v>#REF!</v>
      </c>
      <c r="R16" s="192" t="e">
        <f>SUM(R8:R13)</f>
        <v>#REF!</v>
      </c>
      <c r="U16" s="188" t="s">
        <v>1</v>
      </c>
      <c r="V16" s="192">
        <f>SUM(V8:V15)</f>
        <v>17075.3</v>
      </c>
    </row>
    <row r="17" spans="1:18">
      <c r="C17" s="69" t="str">
        <f>C8</f>
        <v>Dal Mill</v>
      </c>
      <c r="D17" s="154">
        <v>0.05</v>
      </c>
      <c r="E17" s="70">
        <f>SUM('12.Facility 1 Dal Mill'!D155:D162)*$D$17</f>
        <v>2321090.640160589</v>
      </c>
      <c r="F17" s="70">
        <f>SUM('12.Facility 1 Dal Mill'!E155:E162)*$D$17</f>
        <v>2680859.6893854812</v>
      </c>
      <c r="G17" s="70">
        <f>SUM('12.Facility 1 Dal Mill'!F155:F162)*$D$17</f>
        <v>3070802.9169324604</v>
      </c>
      <c r="H17" s="70">
        <f>SUM('12.Facility 1 Dal Mill'!G155:G162)*$D$17</f>
        <v>3493038.3180106739</v>
      </c>
      <c r="I17" s="70">
        <f>SUM('12.Facility 1 Dal Mill'!H155:H162)*$D$17</f>
        <v>3949820.2519043782</v>
      </c>
      <c r="J17" s="70">
        <f>SUM('12.Facility 1 Dal Mill'!I155:I162)*$D$17</f>
        <v>4443547.7833924256</v>
      </c>
      <c r="K17" s="70">
        <f>SUM('12.Facility 1 Dal Mill'!J155:J162)*$D$17</f>
        <v>4976773.5173995178</v>
      </c>
      <c r="L17" s="68"/>
      <c r="M17" s="68"/>
    </row>
    <row r="18" spans="1:18">
      <c r="C18" s="69" t="s">
        <v>519</v>
      </c>
      <c r="D18" s="154">
        <v>0.02</v>
      </c>
      <c r="E18" s="70">
        <f>SUM('17.Facility 6 Horti Processing '!D243:D280)*$D$18</f>
        <v>0</v>
      </c>
      <c r="F18" s="70">
        <f>SUM('17.Facility 6 Horti Processing '!E243:E280)*$D$18</f>
        <v>0</v>
      </c>
      <c r="G18" s="70">
        <f>SUM('17.Facility 6 Horti Processing '!F243:F280)*$D$18</f>
        <v>0</v>
      </c>
      <c r="H18" s="70">
        <f>SUM('17.Facility 6 Horti Processing '!G243:G280)*$D$18</f>
        <v>0</v>
      </c>
      <c r="I18" s="70">
        <f>SUM('17.Facility 6 Horti Processing '!H243:H280)*$D$18</f>
        <v>0</v>
      </c>
      <c r="J18" s="70">
        <f>SUM('17.Facility 6 Horti Processing '!I243:I280)*$D$18</f>
        <v>0</v>
      </c>
      <c r="K18" s="70">
        <f>SUM('17.Facility 6 Horti Processing '!J243:J280)*$D$18</f>
        <v>0</v>
      </c>
      <c r="L18" s="68"/>
      <c r="M18" s="68"/>
    </row>
    <row r="19" spans="1:18">
      <c r="C19" s="69"/>
      <c r="D19" s="154"/>
      <c r="E19" s="70"/>
      <c r="F19" s="70"/>
      <c r="G19" s="70"/>
      <c r="H19" s="70"/>
      <c r="I19" s="70"/>
      <c r="J19" s="70"/>
      <c r="K19" s="70"/>
      <c r="L19" s="68"/>
      <c r="M19" s="68"/>
    </row>
    <row r="20" spans="1:18">
      <c r="C20" s="69"/>
      <c r="D20" s="69"/>
      <c r="E20" s="69"/>
      <c r="F20" s="70"/>
      <c r="G20" s="70"/>
      <c r="H20" s="70"/>
      <c r="I20" s="70"/>
      <c r="J20" s="70"/>
      <c r="K20" s="70"/>
      <c r="L20" s="68"/>
      <c r="M20" s="68"/>
    </row>
    <row r="21" spans="1:18">
      <c r="C21" s="69" t="s">
        <v>1</v>
      </c>
      <c r="D21" s="69"/>
      <c r="E21" s="164">
        <f t="shared" ref="E21:K21" si="3">SUM(E15:E20)</f>
        <v>2490295.8117965092</v>
      </c>
      <c r="F21" s="70">
        <f t="shared" si="3"/>
        <v>2856748.4653010201</v>
      </c>
      <c r="G21" s="70">
        <f t="shared" si="3"/>
        <v>3272275.5147993504</v>
      </c>
      <c r="H21" s="70">
        <f t="shared" si="3"/>
        <v>3722213.3980842615</v>
      </c>
      <c r="I21" s="70">
        <f t="shared" si="3"/>
        <v>4208964.3809106657</v>
      </c>
      <c r="J21" s="70">
        <f t="shared" si="3"/>
        <v>4735084.9285244988</v>
      </c>
      <c r="K21" s="70">
        <f t="shared" si="3"/>
        <v>5303295.11994744</v>
      </c>
      <c r="L21" s="68"/>
      <c r="M21" s="68"/>
    </row>
    <row r="22" spans="1:18">
      <c r="C22" s="68"/>
      <c r="D22" s="68"/>
      <c r="E22" s="68"/>
      <c r="F22" s="68"/>
      <c r="G22" s="68"/>
      <c r="H22" s="68"/>
      <c r="I22" s="68"/>
      <c r="J22" s="68"/>
      <c r="K22" s="68"/>
      <c r="L22" s="68"/>
      <c r="M22" s="68"/>
    </row>
    <row r="23" spans="1:18" ht="41.1" customHeight="1">
      <c r="A23" s="1118" t="s">
        <v>421</v>
      </c>
      <c r="B23" s="1118"/>
      <c r="C23" s="1118"/>
      <c r="D23" s="1118"/>
      <c r="E23" s="1118"/>
      <c r="F23" s="1118"/>
      <c r="G23" s="1118"/>
      <c r="H23" s="1118"/>
      <c r="I23" s="1118"/>
      <c r="J23" s="1118"/>
      <c r="K23" s="1118"/>
      <c r="L23" s="245"/>
      <c r="M23" s="245"/>
      <c r="N23" s="245"/>
      <c r="O23" s="210"/>
      <c r="P23" s="210"/>
      <c r="Q23" s="210"/>
      <c r="R23" s="210"/>
    </row>
    <row r="24" spans="1:18">
      <c r="A24" t="s">
        <v>531</v>
      </c>
    </row>
    <row r="25" spans="1:18">
      <c r="A25">
        <v>1</v>
      </c>
      <c r="B25" t="s">
        <v>534</v>
      </c>
    </row>
    <row r="28" spans="1:18" ht="18.75">
      <c r="B28" s="724" t="s">
        <v>1995</v>
      </c>
      <c r="C28" s="724"/>
      <c r="D28" s="724"/>
      <c r="E28" s="724"/>
      <c r="F28" s="724"/>
      <c r="G28" s="724"/>
      <c r="H28" s="724"/>
      <c r="I28" s="724"/>
      <c r="J28" s="724"/>
      <c r="K28" s="724"/>
    </row>
    <row r="30" spans="1:18">
      <c r="B30" s="1123" t="s">
        <v>145</v>
      </c>
      <c r="C30" s="1123" t="s">
        <v>0</v>
      </c>
      <c r="D30" s="1146" t="s">
        <v>369</v>
      </c>
      <c r="E30" s="1148" t="s">
        <v>159</v>
      </c>
      <c r="F30" s="1149"/>
      <c r="G30" s="1149"/>
      <c r="H30" s="1149"/>
      <c r="I30" s="1149"/>
      <c r="J30" s="1149"/>
      <c r="K30" s="1149"/>
    </row>
    <row r="31" spans="1:18">
      <c r="B31" s="1123"/>
      <c r="C31" s="1123"/>
      <c r="D31" s="1147"/>
      <c r="E31" s="174" t="s">
        <v>2</v>
      </c>
      <c r="F31" s="174" t="s">
        <v>3</v>
      </c>
      <c r="G31" s="174" t="s">
        <v>4</v>
      </c>
      <c r="H31" s="174" t="s">
        <v>5</v>
      </c>
      <c r="I31" s="174" t="s">
        <v>6</v>
      </c>
      <c r="J31" s="174" t="s">
        <v>170</v>
      </c>
      <c r="K31" s="174" t="s">
        <v>169</v>
      </c>
    </row>
    <row r="32" spans="1:18">
      <c r="B32" s="177"/>
      <c r="C32" s="178"/>
      <c r="D32" s="178"/>
      <c r="E32" s="179"/>
      <c r="F32" s="179"/>
      <c r="G32" s="179"/>
      <c r="H32" s="179"/>
      <c r="I32" s="179"/>
      <c r="J32" s="179"/>
      <c r="K32" s="179"/>
    </row>
    <row r="33" spans="2:11" ht="27" customHeight="1">
      <c r="B33" s="180" t="s">
        <v>174</v>
      </c>
      <c r="C33" s="181" t="s">
        <v>352</v>
      </c>
      <c r="D33" s="180"/>
      <c r="E33" s="182"/>
      <c r="F33" s="182"/>
      <c r="G33" s="182"/>
      <c r="H33" s="182"/>
      <c r="I33" s="182"/>
      <c r="J33" s="182"/>
      <c r="K33" s="182"/>
    </row>
    <row r="34" spans="2:11">
      <c r="B34" s="200">
        <v>1</v>
      </c>
      <c r="C34" s="183" t="s">
        <v>371</v>
      </c>
      <c r="D34" s="180">
        <v>7</v>
      </c>
      <c r="E34" s="182">
        <f>('16.Facility 5 Agri Input'!D191/365)*$D$34</f>
        <v>0</v>
      </c>
      <c r="F34" s="182">
        <f>('16.Facility 5 Agri Input'!E191/365)*$D$34</f>
        <v>0</v>
      </c>
      <c r="G34" s="182">
        <f>('16.Facility 5 Agri Input'!F191/365)*$D$34</f>
        <v>0</v>
      </c>
      <c r="H34" s="182">
        <f>('16.Facility 5 Agri Input'!G191/365)*$D$34</f>
        <v>0</v>
      </c>
      <c r="I34" s="182">
        <f>('16.Facility 5 Agri Input'!H191/365)*$D$34</f>
        <v>0</v>
      </c>
      <c r="J34" s="182">
        <f>('16.Facility 5 Agri Input'!I191/365)*$D$34</f>
        <v>0</v>
      </c>
      <c r="K34" s="182">
        <f>('16.Facility 5 Agri Input'!J191/365)*$D$34</f>
        <v>0</v>
      </c>
    </row>
    <row r="35" spans="2:11">
      <c r="B35" s="200">
        <v>2</v>
      </c>
      <c r="C35" s="183" t="s">
        <v>367</v>
      </c>
      <c r="D35" s="180">
        <v>14</v>
      </c>
      <c r="E35" s="182">
        <f>('15. Facility 4 Custom Hiring'!F39/365)*$D$35</f>
        <v>0</v>
      </c>
      <c r="F35" s="182">
        <f>('15. Facility 4 Custom Hiring'!G39/365)*$D$35</f>
        <v>0</v>
      </c>
      <c r="G35" s="182">
        <f>('15. Facility 4 Custom Hiring'!H39/365)*$D$35</f>
        <v>0</v>
      </c>
      <c r="H35" s="182">
        <f>('15. Facility 4 Custom Hiring'!I39/365)*$D$35</f>
        <v>0</v>
      </c>
      <c r="I35" s="182">
        <f>('15. Facility 4 Custom Hiring'!J39/365)*$D$35</f>
        <v>0</v>
      </c>
      <c r="J35" s="182">
        <f>('15. Facility 4 Custom Hiring'!K39/365)*$D$35</f>
        <v>0</v>
      </c>
      <c r="K35" s="182">
        <f>('15. Facility 4 Custom Hiring'!L39/365)*$D$35</f>
        <v>0</v>
      </c>
    </row>
    <row r="36" spans="2:11">
      <c r="B36" s="200">
        <v>3</v>
      </c>
      <c r="C36" s="183" t="s">
        <v>2095</v>
      </c>
      <c r="D36" s="180">
        <v>14</v>
      </c>
      <c r="E36" s="182">
        <f>('13.Facility 2 - Besan'!D221/365)*$D$36</f>
        <v>209952.34794493151</v>
      </c>
      <c r="F36" s="182">
        <f>('13.Facility 2 - Besan'!E221/365)*$D$36</f>
        <v>228223.83556192066</v>
      </c>
      <c r="G36" s="182">
        <f>('13.Facility 2 - Besan'!F221/365)*$D$36</f>
        <v>260362.77618118428</v>
      </c>
      <c r="H36" s="182">
        <f>('13.Facility 2 - Besan'!G221/365)*$D$36</f>
        <v>296245.16655198595</v>
      </c>
      <c r="I36" s="182">
        <f>('13.Facility 2 - Besan'!H221/365)*$D$36</f>
        <v>335064.88901941484</v>
      </c>
      <c r="J36" s="182">
        <f>('13.Facility 2 - Besan'!I221/365)*$D$36</f>
        <v>377025.97081720649</v>
      </c>
      <c r="K36" s="182">
        <f>('13.Facility 2 - Besan'!J221/365)*$D$36</f>
        <v>422345.49857222883</v>
      </c>
    </row>
    <row r="37" spans="2:11">
      <c r="B37" s="200">
        <v>4</v>
      </c>
      <c r="C37" s="183" t="s">
        <v>140</v>
      </c>
      <c r="D37" s="180">
        <v>14</v>
      </c>
      <c r="E37" s="182">
        <f>('12.Facility 1 Dal Mill'!D151/365)*$D$37</f>
        <v>2003872.2072395182</v>
      </c>
      <c r="F37" s="182">
        <f>('12.Facility 1 Dal Mill'!E151/365)*$D$37</f>
        <v>2394987.900158138</v>
      </c>
      <c r="G37" s="182">
        <f>('12.Facility 1 Dal Mill'!F151/365)*$D$37</f>
        <v>2744118.3335978347</v>
      </c>
      <c r="H37" s="182">
        <f>('12.Facility 1 Dal Mill'!G151/365)*$D$37</f>
        <v>3122174.3406311045</v>
      </c>
      <c r="I37" s="182">
        <f>('12.Facility 1 Dal Mill'!H151/365)*$D$37</f>
        <v>3531175.6525337067</v>
      </c>
      <c r="J37" s="182">
        <f>('12.Facility 1 Dal Mill'!I151/365)*$D$37</f>
        <v>3973271.6597749926</v>
      </c>
      <c r="K37" s="182">
        <f>('12.Facility 1 Dal Mill'!J151/365)*$D$37</f>
        <v>4450749.3286090717</v>
      </c>
    </row>
    <row r="38" spans="2:11">
      <c r="B38" s="200">
        <v>5</v>
      </c>
      <c r="C38" s="183" t="s">
        <v>302</v>
      </c>
      <c r="D38" s="180">
        <v>14</v>
      </c>
      <c r="E38" s="182">
        <f>('14. Facility 3 Warehouse'!D23/365)*$D$38</f>
        <v>44186.301369863009</v>
      </c>
      <c r="F38" s="182">
        <f>('14. Facility 3 Warehouse'!E23/365)*$D$38</f>
        <v>49295.342465753434</v>
      </c>
      <c r="G38" s="182">
        <f>('14. Facility 3 Warehouse'!F23/365)*$D$38</f>
        <v>54804.821917808229</v>
      </c>
      <c r="H38" s="182">
        <f>('14. Facility 3 Warehouse'!G23/365)*$D$38</f>
        <v>60742.010958904139</v>
      </c>
      <c r="I38" s="182">
        <f>('14. Facility 3 Warehouse'!H23/365)*$D$38</f>
        <v>67135.906849315114</v>
      </c>
      <c r="J38" s="182">
        <f>('14. Facility 3 Warehouse'!I23/365)*$D$38</f>
        <v>70492.70219178086</v>
      </c>
      <c r="K38" s="182">
        <f>('14. Facility 3 Warehouse'!J23/365)*$D$38</f>
        <v>74017.337301369917</v>
      </c>
    </row>
    <row r="39" spans="2:11" ht="30">
      <c r="B39" s="200">
        <v>6</v>
      </c>
      <c r="C39" s="183" t="s">
        <v>527</v>
      </c>
      <c r="D39" s="180">
        <v>14</v>
      </c>
      <c r="E39" s="182">
        <f>('17.Facility 6 Horti Processing '!D239/365)*$D$39</f>
        <v>0</v>
      </c>
      <c r="F39" s="182">
        <f>('17.Facility 6 Horti Processing '!E239/365)*$D$39</f>
        <v>0</v>
      </c>
      <c r="G39" s="182">
        <f>('17.Facility 6 Horti Processing '!F239/365)*$D$39</f>
        <v>0</v>
      </c>
      <c r="H39" s="182">
        <f>('17.Facility 6 Horti Processing '!G239/365)*$D$39</f>
        <v>0</v>
      </c>
      <c r="I39" s="182">
        <f>('17.Facility 6 Horti Processing '!H239/365)*$D$39</f>
        <v>0</v>
      </c>
      <c r="J39" s="182">
        <f>('17.Facility 6 Horti Processing '!I239/365)*$D$39</f>
        <v>0</v>
      </c>
      <c r="K39" s="182">
        <f>('17.Facility 6 Horti Processing '!J239/365)*$D$39</f>
        <v>0</v>
      </c>
    </row>
    <row r="40" spans="2:11">
      <c r="B40" s="200"/>
      <c r="C40" s="183"/>
      <c r="D40" s="180"/>
      <c r="E40" s="182"/>
      <c r="F40" s="182"/>
      <c r="G40" s="182"/>
      <c r="H40" s="182"/>
      <c r="I40" s="182"/>
      <c r="J40" s="182"/>
      <c r="K40" s="182"/>
    </row>
    <row r="41" spans="2:11">
      <c r="B41" s="180"/>
      <c r="C41" s="181" t="s">
        <v>172</v>
      </c>
      <c r="D41" s="180"/>
      <c r="E41" s="182">
        <f>SUM(E34:E40)</f>
        <v>2258010.8565543126</v>
      </c>
      <c r="F41" s="182">
        <f t="shared" ref="F41:K41" si="4">SUM(F34:F40)</f>
        <v>2672507.0781858126</v>
      </c>
      <c r="G41" s="182">
        <f t="shared" si="4"/>
        <v>3059285.9316968271</v>
      </c>
      <c r="H41" s="182">
        <f t="shared" si="4"/>
        <v>3479161.5181419943</v>
      </c>
      <c r="I41" s="182">
        <f t="shared" si="4"/>
        <v>3933376.4484024365</v>
      </c>
      <c r="J41" s="182">
        <f t="shared" si="4"/>
        <v>4420790.3327839803</v>
      </c>
      <c r="K41" s="182">
        <f t="shared" si="4"/>
        <v>4947112.1644826699</v>
      </c>
    </row>
    <row r="42" spans="2:11">
      <c r="B42" s="180" t="s">
        <v>175</v>
      </c>
      <c r="C42" s="181" t="s">
        <v>351</v>
      </c>
      <c r="D42" s="180"/>
      <c r="E42" s="182">
        <f>'5.Closing Stock &amp; W Capital'!E21</f>
        <v>2490295.8117965092</v>
      </c>
      <c r="F42" s="182">
        <f>'5.Closing Stock &amp; W Capital'!F21</f>
        <v>2856748.4653010201</v>
      </c>
      <c r="G42" s="182">
        <f>'5.Closing Stock &amp; W Capital'!G21</f>
        <v>3272275.5147993504</v>
      </c>
      <c r="H42" s="182">
        <f>'5.Closing Stock &amp; W Capital'!H21</f>
        <v>3722213.3980842615</v>
      </c>
      <c r="I42" s="182">
        <f>'5.Closing Stock &amp; W Capital'!I21</f>
        <v>4208964.3809106657</v>
      </c>
      <c r="J42" s="182">
        <f>'5.Closing Stock &amp; W Capital'!J21</f>
        <v>4735084.9285244988</v>
      </c>
      <c r="K42" s="182">
        <f>'5.Closing Stock &amp; W Capital'!K21</f>
        <v>5303295.11994744</v>
      </c>
    </row>
    <row r="43" spans="2:11">
      <c r="B43" s="180"/>
      <c r="C43" s="183"/>
      <c r="D43" s="180"/>
      <c r="E43" s="182"/>
      <c r="F43" s="182"/>
      <c r="G43" s="182"/>
      <c r="H43" s="182"/>
      <c r="I43" s="182"/>
      <c r="J43" s="182"/>
      <c r="K43" s="182"/>
    </row>
    <row r="44" spans="2:11">
      <c r="B44" s="1115" t="s">
        <v>1</v>
      </c>
      <c r="C44" s="1117"/>
      <c r="D44" s="538"/>
      <c r="E44" s="184">
        <f>SUM(E41:E42)</f>
        <v>4748306.6683508214</v>
      </c>
      <c r="F44" s="184">
        <f t="shared" ref="F44:K44" si="5">SUM(F41:F42)</f>
        <v>5529255.5434868326</v>
      </c>
      <c r="G44" s="184">
        <f t="shared" si="5"/>
        <v>6331561.4464961775</v>
      </c>
      <c r="H44" s="184">
        <f t="shared" si="5"/>
        <v>7201374.9162262557</v>
      </c>
      <c r="I44" s="184">
        <f t="shared" si="5"/>
        <v>8142340.8293131022</v>
      </c>
      <c r="J44" s="184">
        <f t="shared" si="5"/>
        <v>9155875.2613084801</v>
      </c>
      <c r="K44" s="184">
        <f t="shared" si="5"/>
        <v>10250407.284430109</v>
      </c>
    </row>
    <row r="45" spans="2:11">
      <c r="B45" s="180"/>
      <c r="C45" s="181"/>
      <c r="D45" s="180"/>
      <c r="E45" s="182"/>
      <c r="F45" s="182"/>
      <c r="G45" s="182"/>
      <c r="H45" s="182"/>
      <c r="I45" s="182"/>
      <c r="J45" s="182"/>
      <c r="K45" s="182"/>
    </row>
    <row r="46" spans="2:11" ht="34.5" customHeight="1">
      <c r="B46" s="180" t="s">
        <v>176</v>
      </c>
      <c r="C46" s="183" t="s">
        <v>353</v>
      </c>
      <c r="D46" s="180"/>
      <c r="E46" s="182"/>
      <c r="F46" s="182"/>
      <c r="G46" s="182"/>
      <c r="H46" s="182"/>
      <c r="I46" s="182"/>
      <c r="J46" s="182"/>
      <c r="K46" s="182"/>
    </row>
    <row r="47" spans="2:11">
      <c r="B47" s="200">
        <v>1</v>
      </c>
      <c r="C47" s="183" t="str">
        <f t="shared" ref="C47:C52" si="6">C34</f>
        <v>Agri Input</v>
      </c>
      <c r="D47" s="180">
        <v>7</v>
      </c>
      <c r="E47" s="182">
        <f>('16.Facility 5 Agri Input'!D262/365)*$D$47</f>
        <v>0</v>
      </c>
      <c r="F47" s="182">
        <f>('16.Facility 5 Agri Input'!E262/365)*$D$47</f>
        <v>0</v>
      </c>
      <c r="G47" s="182">
        <f>('16.Facility 5 Agri Input'!F262/365)*$D$47</f>
        <v>0</v>
      </c>
      <c r="H47" s="182">
        <f>('16.Facility 5 Agri Input'!G262/365)*$D$47</f>
        <v>0</v>
      </c>
      <c r="I47" s="182">
        <f>('16.Facility 5 Agri Input'!H262/365)*$D$47</f>
        <v>0</v>
      </c>
      <c r="J47" s="182">
        <f>('16.Facility 5 Agri Input'!I262/365)*$D$47</f>
        <v>0</v>
      </c>
      <c r="K47" s="182">
        <f>('16.Facility 5 Agri Input'!J262/365)*$D$47</f>
        <v>0</v>
      </c>
    </row>
    <row r="48" spans="2:11">
      <c r="B48" s="200">
        <v>2</v>
      </c>
      <c r="C48" s="183" t="str">
        <f t="shared" si="6"/>
        <v>Custom Hiring</v>
      </c>
      <c r="D48" s="180">
        <v>7</v>
      </c>
      <c r="E48" s="182">
        <f>('15. Facility 4 Custom Hiring'!F49/365)*$D$49</f>
        <v>0</v>
      </c>
      <c r="F48" s="182">
        <f>('15. Facility 4 Custom Hiring'!G49/365)*$D$49</f>
        <v>0</v>
      </c>
      <c r="G48" s="182">
        <f>('15. Facility 4 Custom Hiring'!H49/365)*$D$49</f>
        <v>0</v>
      </c>
      <c r="H48" s="182">
        <f>('15. Facility 4 Custom Hiring'!I49/365)*$D$49</f>
        <v>0</v>
      </c>
      <c r="I48" s="182">
        <f>('15. Facility 4 Custom Hiring'!J49/365)*$D$49</f>
        <v>0</v>
      </c>
      <c r="J48" s="182">
        <f>('15. Facility 4 Custom Hiring'!K49/365)*$D$49</f>
        <v>0</v>
      </c>
      <c r="K48" s="182">
        <f>('15. Facility 4 Custom Hiring'!L49/365)*$D$49</f>
        <v>0</v>
      </c>
    </row>
    <row r="49" spans="1:12">
      <c r="B49" s="200">
        <v>3</v>
      </c>
      <c r="C49" s="183" t="str">
        <f t="shared" si="6"/>
        <v>Besan Unit</v>
      </c>
      <c r="D49" s="180">
        <v>7</v>
      </c>
      <c r="E49" s="182">
        <f>('13.Facility 2 - Besan'!D273/365)*$D$49</f>
        <v>62711.495245143444</v>
      </c>
      <c r="F49" s="182">
        <f>('13.Facility 2 - Besan'!E273/365)*$D$49</f>
        <v>68433.629996234682</v>
      </c>
      <c r="G49" s="182">
        <f>('13.Facility 2 - Besan'!F273/365)*$D$49</f>
        <v>78043.786789512218</v>
      </c>
      <c r="H49" s="182">
        <f>('13.Facility 2 - Besan'!G273/365)*$D$49</f>
        <v>88801.639820579119</v>
      </c>
      <c r="I49" s="182">
        <f>('13.Facility 2 - Besan'!H273/365)*$D$49</f>
        <v>100440.16868777887</v>
      </c>
      <c r="J49" s="182">
        <f>('13.Facility 2 - Besan'!I273/365)*$D$49</f>
        <v>113020.54634214716</v>
      </c>
      <c r="K49" s="182">
        <f>('13.Facility 2 - Besan'!J273/365)*$D$49</f>
        <v>126607.86134023279</v>
      </c>
    </row>
    <row r="50" spans="1:12">
      <c r="B50" s="200">
        <v>4</v>
      </c>
      <c r="C50" s="183" t="str">
        <f t="shared" si="6"/>
        <v>Dal Mill</v>
      </c>
      <c r="D50" s="180">
        <v>7</v>
      </c>
      <c r="E50" s="182">
        <f>('12.Facility 1 Dal Mill'!D172/365)*$D$50</f>
        <v>854987.32968659059</v>
      </c>
      <c r="F50" s="182">
        <f>('12.Facility 1 Dal Mill'!E172/365)*$D$50</f>
        <v>1031659.3909218734</v>
      </c>
      <c r="G50" s="182">
        <f>('12.Facility 1 Dal Mill'!F172/365)*$D$50</f>
        <v>1181795.3965738316</v>
      </c>
      <c r="H50" s="182">
        <f>('12.Facility 1 Dal Mill'!G172/365)*$D$50</f>
        <v>1344365.8543136807</v>
      </c>
      <c r="I50" s="182">
        <f>('12.Facility 1 Dal Mill'!H172/365)*$D$50</f>
        <v>1520238.8693360805</v>
      </c>
      <c r="J50" s="182">
        <f>('12.Facility 1 Dal Mill'!I172/365)*$D$50</f>
        <v>1710338.271224936</v>
      </c>
      <c r="K50" s="182">
        <f>('12.Facility 1 Dal Mill'!J172/365)*$D$50</f>
        <v>1915647.0161293373</v>
      </c>
    </row>
    <row r="51" spans="1:12">
      <c r="B51" s="200">
        <v>5</v>
      </c>
      <c r="C51" s="183" t="str">
        <f t="shared" si="6"/>
        <v>Warehouse</v>
      </c>
      <c r="D51" s="180">
        <v>7</v>
      </c>
      <c r="E51" s="182">
        <f>('14. Facility 3 Warehouse'!D34/365)*$D$51</f>
        <v>7843.8356164383558</v>
      </c>
      <c r="F51" s="182">
        <f>('14. Facility 3 Warehouse'!E34/365)*$D$51</f>
        <v>8236.0273972602736</v>
      </c>
      <c r="G51" s="182">
        <f>('14. Facility 3 Warehouse'!F34/365)*$D$51</f>
        <v>8647.8287671232883</v>
      </c>
      <c r="H51" s="182">
        <f>('14. Facility 3 Warehouse'!G34/365)*$D$51</f>
        <v>9080.2202054794543</v>
      </c>
      <c r="I51" s="182">
        <f>('14. Facility 3 Warehouse'!H34/365)*$D$51</f>
        <v>9534.2312157534252</v>
      </c>
      <c r="J51" s="182">
        <f>('14. Facility 3 Warehouse'!I34/365)*$D$51</f>
        <v>10010.9427765411</v>
      </c>
      <c r="K51" s="182">
        <f>('14. Facility 3 Warehouse'!J34/365)*$D$51</f>
        <v>10511.489915368153</v>
      </c>
    </row>
    <row r="52" spans="1:12" ht="30">
      <c r="B52" s="200"/>
      <c r="C52" s="183" t="str">
        <f t="shared" si="6"/>
        <v>Processing Unit - Horti Commodity</v>
      </c>
      <c r="D52" s="180">
        <v>7</v>
      </c>
      <c r="E52" s="182">
        <f>('17.Facility 6 Horti Processing '!D289/365)*$D$52</f>
        <v>0</v>
      </c>
      <c r="F52" s="182">
        <f>('17.Facility 6 Horti Processing '!E289/365)*$D$52</f>
        <v>0</v>
      </c>
      <c r="G52" s="182">
        <f>('17.Facility 6 Horti Processing '!F289/365)*$D$52</f>
        <v>0</v>
      </c>
      <c r="H52" s="182">
        <f>('17.Facility 6 Horti Processing '!G289/365)*$D$52</f>
        <v>0</v>
      </c>
      <c r="I52" s="182">
        <f>('17.Facility 6 Horti Processing '!H289/365)*$D$52</f>
        <v>0</v>
      </c>
      <c r="J52" s="182">
        <f>('17.Facility 6 Horti Processing '!I289/365)*$D$52</f>
        <v>0</v>
      </c>
      <c r="K52" s="182">
        <f>('17.Facility 6 Horti Processing '!J289/365)*$D$52</f>
        <v>0</v>
      </c>
    </row>
    <row r="53" spans="1:12">
      <c r="B53" s="200"/>
      <c r="C53" s="183"/>
      <c r="D53" s="180"/>
      <c r="E53" s="182"/>
      <c r="F53" s="182"/>
      <c r="G53" s="182"/>
      <c r="H53" s="182"/>
      <c r="I53" s="182"/>
      <c r="J53" s="182"/>
      <c r="K53" s="182"/>
    </row>
    <row r="54" spans="1:12" ht="18.75" customHeight="1">
      <c r="B54" s="175"/>
      <c r="C54" s="181" t="s">
        <v>1</v>
      </c>
      <c r="D54" s="180"/>
      <c r="E54" s="184">
        <f>SUM(E47:E53)</f>
        <v>925542.66054817231</v>
      </c>
      <c r="F54" s="184">
        <f t="shared" ref="F54:K54" si="7">SUM(F47:F53)</f>
        <v>1108329.0483153684</v>
      </c>
      <c r="G54" s="184">
        <f t="shared" si="7"/>
        <v>1268487.0121304672</v>
      </c>
      <c r="H54" s="184">
        <f t="shared" si="7"/>
        <v>1442247.7143397394</v>
      </c>
      <c r="I54" s="184">
        <f t="shared" si="7"/>
        <v>1630213.2692396126</v>
      </c>
      <c r="J54" s="184">
        <f t="shared" si="7"/>
        <v>1833369.760343624</v>
      </c>
      <c r="K54" s="184">
        <f t="shared" si="7"/>
        <v>2052766.3673849383</v>
      </c>
    </row>
    <row r="55" spans="1:12" ht="18.75" customHeight="1">
      <c r="B55" s="180" t="s">
        <v>177</v>
      </c>
      <c r="C55" s="181" t="s">
        <v>157</v>
      </c>
      <c r="D55" s="180"/>
      <c r="E55" s="184">
        <f>E44-E54</f>
        <v>3822764.0078026489</v>
      </c>
      <c r="F55" s="184">
        <f t="shared" ref="F55:K55" si="8">F44-F54</f>
        <v>4420926.495171464</v>
      </c>
      <c r="G55" s="184">
        <f t="shared" si="8"/>
        <v>5063074.4343657102</v>
      </c>
      <c r="H55" s="184">
        <f t="shared" si="8"/>
        <v>5759127.2018865161</v>
      </c>
      <c r="I55" s="184">
        <f t="shared" si="8"/>
        <v>6512127.5600734893</v>
      </c>
      <c r="J55" s="184">
        <f t="shared" si="8"/>
        <v>7322505.5009648558</v>
      </c>
      <c r="K55" s="184">
        <f t="shared" si="8"/>
        <v>8197640.9170451704</v>
      </c>
    </row>
    <row r="56" spans="1:12">
      <c r="B56" s="180"/>
      <c r="C56" s="181" t="s">
        <v>134</v>
      </c>
      <c r="D56" s="592">
        <v>0.25</v>
      </c>
      <c r="E56" s="184">
        <f>E55*$D$56</f>
        <v>955691.00195066223</v>
      </c>
      <c r="F56" s="184"/>
      <c r="G56" s="184"/>
      <c r="H56" s="184"/>
      <c r="I56" s="184"/>
      <c r="J56" s="184"/>
      <c r="K56" s="184"/>
    </row>
    <row r="58" spans="1:12">
      <c r="E58" s="21"/>
    </row>
    <row r="59" spans="1:12" ht="36.950000000000003" customHeight="1">
      <c r="A59" s="1144" t="s">
        <v>416</v>
      </c>
      <c r="B59" s="1145"/>
      <c r="C59" s="1145"/>
      <c r="D59" s="1145"/>
      <c r="E59" s="1145"/>
      <c r="F59" s="1145"/>
      <c r="G59" s="1145"/>
      <c r="H59" s="1145"/>
      <c r="I59" s="1145"/>
      <c r="J59" s="1145"/>
      <c r="K59" s="1145"/>
      <c r="L59" s="1145"/>
    </row>
    <row r="60" spans="1:12">
      <c r="A60" t="s">
        <v>535</v>
      </c>
    </row>
    <row r="61" spans="1:12">
      <c r="A61">
        <v>1</v>
      </c>
      <c r="B61" t="s">
        <v>536</v>
      </c>
    </row>
    <row r="62" spans="1:12">
      <c r="A62">
        <v>2</v>
      </c>
      <c r="B62" t="s">
        <v>537</v>
      </c>
    </row>
    <row r="63" spans="1:12">
      <c r="A63">
        <v>3</v>
      </c>
      <c r="B63" t="s">
        <v>538</v>
      </c>
    </row>
  </sheetData>
  <mergeCells count="13">
    <mergeCell ref="N6:R6"/>
    <mergeCell ref="U5:V5"/>
    <mergeCell ref="U6:V6"/>
    <mergeCell ref="C2:K2"/>
    <mergeCell ref="A23:K23"/>
    <mergeCell ref="N5:R5"/>
    <mergeCell ref="A59:L59"/>
    <mergeCell ref="B28:K28"/>
    <mergeCell ref="B30:B31"/>
    <mergeCell ref="C30:C31"/>
    <mergeCell ref="B44:C44"/>
    <mergeCell ref="D30:D31"/>
    <mergeCell ref="E30:K30"/>
  </mergeCells>
  <pageMargins left="0.7" right="0.7" top="1.25" bottom="0.75" header="0.3" footer="0.3"/>
  <pageSetup paperSize="9" scale="54" orientation="landscape" horizontalDpi="4294967292" r:id="rId1"/>
  <rowBreaks count="1" manualBreakCount="1">
    <brk id="26"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5"/>
  <sheetViews>
    <sheetView showFormulas="1" showGridLines="0" view="pageBreakPreview" topLeftCell="A256" zoomScale="55" zoomScaleSheetLayoutView="55" workbookViewId="0">
      <selection activeCell="I215" sqref="I215"/>
    </sheetView>
  </sheetViews>
  <sheetFormatPr defaultRowHeight="15.75"/>
  <cols>
    <col min="1" max="1" width="3.42578125" style="338" customWidth="1"/>
    <col min="2" max="2" width="0.7109375" style="336" customWidth="1"/>
    <col min="3" max="3" width="3.5703125" style="336" customWidth="1"/>
    <col min="4" max="4" width="24.140625" style="336" customWidth="1"/>
    <col min="5" max="5" width="23.7109375" style="336" customWidth="1"/>
    <col min="6" max="6" width="3.7109375" style="336" customWidth="1"/>
    <col min="7" max="7" width="1.140625" style="336" customWidth="1"/>
    <col min="8" max="8" width="4.42578125" style="336" customWidth="1"/>
  </cols>
  <sheetData>
    <row r="1" spans="1:8">
      <c r="A1" s="328"/>
      <c r="B1" s="747"/>
      <c r="C1" s="747"/>
      <c r="D1" s="747"/>
      <c r="E1" s="747"/>
      <c r="F1" s="747"/>
      <c r="G1" s="747"/>
      <c r="H1" s="747"/>
    </row>
    <row r="2" spans="1:8">
      <c r="A2" s="329"/>
      <c r="B2" s="747"/>
      <c r="C2" s="747"/>
      <c r="D2" s="747"/>
      <c r="E2" s="747"/>
      <c r="F2" s="747"/>
      <c r="G2" s="747"/>
      <c r="H2" s="747"/>
    </row>
    <row r="3" spans="1:8" ht="10.5" customHeight="1">
      <c r="A3" s="330"/>
      <c r="B3" s="748"/>
      <c r="C3" s="749"/>
      <c r="D3" s="749"/>
      <c r="E3" s="749"/>
      <c r="F3" s="352"/>
      <c r="G3" s="353"/>
      <c r="H3" s="332"/>
    </row>
    <row r="4" spans="1:8">
      <c r="A4" s="330"/>
      <c r="B4" s="354"/>
      <c r="C4" s="331"/>
      <c r="D4" s="331"/>
      <c r="E4" s="331"/>
      <c r="F4" s="331"/>
      <c r="G4" s="355"/>
      <c r="H4" s="331"/>
    </row>
    <row r="5" spans="1:8">
      <c r="A5" s="330"/>
      <c r="B5" s="354"/>
      <c r="C5" s="331"/>
      <c r="D5" s="331"/>
      <c r="E5" s="331"/>
      <c r="F5" s="331"/>
      <c r="G5" s="355"/>
      <c r="H5" s="331"/>
    </row>
    <row r="6" spans="1:8">
      <c r="A6" s="330"/>
      <c r="B6" s="737"/>
      <c r="C6" s="738"/>
      <c r="D6" s="738"/>
      <c r="E6" s="738"/>
      <c r="F6" s="331"/>
      <c r="G6" s="355"/>
      <c r="H6" s="331"/>
    </row>
    <row r="7" spans="1:8">
      <c r="A7" s="330"/>
      <c r="B7" s="354"/>
      <c r="C7" s="331"/>
      <c r="D7" s="331"/>
      <c r="E7" s="331"/>
      <c r="F7" s="331"/>
      <c r="G7" s="355"/>
      <c r="H7" s="331"/>
    </row>
    <row r="8" spans="1:8">
      <c r="A8" s="330"/>
      <c r="B8" s="354"/>
      <c r="C8" s="331"/>
      <c r="D8" s="331"/>
      <c r="E8" s="331"/>
      <c r="F8" s="331"/>
      <c r="G8" s="355"/>
      <c r="H8" s="331"/>
    </row>
    <row r="9" spans="1:8">
      <c r="A9" s="330"/>
      <c r="B9" s="354"/>
      <c r="C9" s="331"/>
      <c r="D9" s="331"/>
      <c r="E9" s="331"/>
      <c r="F9" s="331"/>
      <c r="G9" s="355"/>
      <c r="H9" s="331"/>
    </row>
    <row r="10" spans="1:8" ht="30" customHeight="1">
      <c r="A10" s="330"/>
      <c r="B10" s="356"/>
      <c r="D10" s="755" t="s">
        <v>1535</v>
      </c>
      <c r="E10" s="756"/>
      <c r="F10" s="331"/>
      <c r="G10" s="355"/>
      <c r="H10" s="331"/>
    </row>
    <row r="11" spans="1:8">
      <c r="A11" s="330"/>
      <c r="B11" s="354"/>
      <c r="C11" s="331"/>
      <c r="D11" s="757"/>
      <c r="E11" s="758"/>
      <c r="F11" s="331"/>
      <c r="G11" s="355"/>
      <c r="H11" s="331"/>
    </row>
    <row r="12" spans="1:8">
      <c r="A12" s="330"/>
      <c r="B12" s="354"/>
      <c r="C12" s="331"/>
      <c r="D12" s="757"/>
      <c r="E12" s="758"/>
      <c r="F12" s="331"/>
      <c r="G12" s="355"/>
      <c r="H12" s="331"/>
    </row>
    <row r="13" spans="1:8" ht="26.25" customHeight="1">
      <c r="A13" s="330"/>
      <c r="B13" s="354"/>
      <c r="C13" s="331"/>
      <c r="D13" s="757"/>
      <c r="E13" s="758"/>
      <c r="F13" s="331"/>
      <c r="G13" s="355"/>
      <c r="H13" s="331"/>
    </row>
    <row r="14" spans="1:8">
      <c r="A14" s="330"/>
      <c r="B14" s="354"/>
      <c r="C14" s="331"/>
      <c r="D14" s="757"/>
      <c r="E14" s="758"/>
      <c r="F14" s="331"/>
      <c r="G14" s="355"/>
      <c r="H14" s="331"/>
    </row>
    <row r="15" spans="1:8" ht="27.75" customHeight="1">
      <c r="A15" s="330"/>
      <c r="B15" s="354"/>
      <c r="C15" s="331"/>
      <c r="D15" s="759"/>
      <c r="E15" s="760"/>
      <c r="F15" s="331"/>
      <c r="G15" s="355"/>
      <c r="H15" s="331"/>
    </row>
    <row r="16" spans="1:8" ht="7.5" customHeight="1">
      <c r="A16" s="330"/>
      <c r="B16" s="354"/>
      <c r="C16" s="331"/>
      <c r="D16" s="332"/>
      <c r="E16" s="332"/>
      <c r="F16" s="331"/>
      <c r="G16" s="355"/>
      <c r="H16" s="331"/>
    </row>
    <row r="17" spans="1:8">
      <c r="A17" s="330"/>
      <c r="B17" s="356"/>
      <c r="D17" s="331"/>
      <c r="E17" s="331"/>
      <c r="F17" s="331"/>
      <c r="G17" s="355"/>
      <c r="H17" s="331"/>
    </row>
    <row r="18" spans="1:8">
      <c r="A18" s="330"/>
      <c r="B18" s="354"/>
      <c r="C18" s="331"/>
      <c r="D18" s="332"/>
      <c r="E18" s="332"/>
      <c r="F18" s="331"/>
      <c r="G18" s="355"/>
      <c r="H18" s="331"/>
    </row>
    <row r="19" spans="1:8">
      <c r="A19" s="330"/>
      <c r="B19" s="354"/>
      <c r="C19" s="331"/>
      <c r="D19" s="331"/>
      <c r="E19" s="331"/>
      <c r="F19" s="331"/>
      <c r="G19" s="355"/>
      <c r="H19" s="333"/>
    </row>
    <row r="20" spans="1:8">
      <c r="A20" s="330"/>
      <c r="B20" s="354"/>
      <c r="C20" s="331"/>
      <c r="D20" s="331"/>
      <c r="E20" s="331"/>
      <c r="F20" s="331"/>
      <c r="G20" s="355"/>
      <c r="H20" s="333"/>
    </row>
    <row r="21" spans="1:8">
      <c r="A21" s="330"/>
      <c r="B21" s="354"/>
      <c r="C21" s="331"/>
      <c r="D21" s="331"/>
      <c r="E21" s="331"/>
      <c r="F21" s="331"/>
      <c r="G21" s="355"/>
      <c r="H21" s="333"/>
    </row>
    <row r="22" spans="1:8">
      <c r="A22" s="330"/>
      <c r="B22" s="354"/>
      <c r="C22" s="331"/>
      <c r="D22" s="331"/>
      <c r="E22" s="331"/>
      <c r="F22" s="331"/>
      <c r="G22" s="355"/>
      <c r="H22" s="333"/>
    </row>
    <row r="23" spans="1:8">
      <c r="A23" s="330"/>
      <c r="B23" s="356"/>
      <c r="G23" s="357"/>
      <c r="H23" s="333"/>
    </row>
    <row r="24" spans="1:8" ht="15.75" customHeight="1">
      <c r="A24" s="337"/>
      <c r="B24" s="752"/>
      <c r="C24" s="753"/>
      <c r="D24" s="753"/>
      <c r="E24" s="753"/>
      <c r="F24" s="358"/>
      <c r="G24" s="359"/>
      <c r="H24" s="360"/>
    </row>
    <row r="25" spans="1:8">
      <c r="A25" s="330"/>
      <c r="B25" s="356"/>
      <c r="G25" s="357"/>
    </row>
    <row r="26" spans="1:8">
      <c r="A26" s="330"/>
      <c r="B26" s="354"/>
      <c r="C26" s="331"/>
      <c r="D26" s="331"/>
      <c r="E26" s="338"/>
      <c r="F26" s="338"/>
      <c r="G26" s="361"/>
      <c r="H26" s="339"/>
    </row>
    <row r="27" spans="1:8" ht="15.75" customHeight="1">
      <c r="A27" s="330"/>
      <c r="B27" s="730"/>
      <c r="C27" s="731"/>
      <c r="D27" s="731"/>
      <c r="E27" s="731"/>
      <c r="F27" s="343"/>
      <c r="G27" s="362"/>
      <c r="H27" s="743"/>
    </row>
    <row r="28" spans="1:8">
      <c r="A28" s="330"/>
      <c r="B28" s="730"/>
      <c r="C28" s="731"/>
      <c r="D28" s="731"/>
      <c r="E28" s="731"/>
      <c r="F28" s="343"/>
      <c r="G28" s="362"/>
      <c r="H28" s="743"/>
    </row>
    <row r="29" spans="1:8">
      <c r="A29" s="330"/>
      <c r="B29" s="363"/>
      <c r="C29" s="343"/>
      <c r="D29" s="343"/>
      <c r="E29" s="343"/>
      <c r="F29" s="343"/>
      <c r="G29" s="362"/>
      <c r="H29" s="344"/>
    </row>
    <row r="30" spans="1:8">
      <c r="A30" s="330"/>
      <c r="B30" s="364"/>
      <c r="C30" s="332"/>
      <c r="D30" s="332"/>
      <c r="E30" s="332"/>
      <c r="F30" s="332"/>
      <c r="G30" s="365"/>
      <c r="H30" s="332"/>
    </row>
    <row r="31" spans="1:8">
      <c r="A31" s="330"/>
      <c r="B31" s="737"/>
      <c r="C31" s="738"/>
      <c r="D31" s="738"/>
      <c r="E31" s="738"/>
      <c r="F31" s="331"/>
      <c r="G31" s="355"/>
      <c r="H31" s="345"/>
    </row>
    <row r="32" spans="1:8" ht="15.75" hidden="1" customHeight="1">
      <c r="A32" s="330"/>
      <c r="B32" s="737" t="s">
        <v>774</v>
      </c>
      <c r="C32" s="738"/>
      <c r="D32" s="738"/>
      <c r="E32" s="738"/>
      <c r="F32" s="331"/>
      <c r="G32" s="355"/>
      <c r="H32" s="345" t="s">
        <v>770</v>
      </c>
    </row>
    <row r="33" spans="1:8" hidden="1">
      <c r="A33" s="330"/>
      <c r="B33" s="354" t="s">
        <v>775</v>
      </c>
      <c r="C33" s="331"/>
      <c r="D33" s="331"/>
      <c r="E33" s="331"/>
      <c r="F33" s="331"/>
      <c r="G33" s="355"/>
      <c r="H33" s="345" t="s">
        <v>770</v>
      </c>
    </row>
    <row r="34" spans="1:8">
      <c r="A34" s="330"/>
      <c r="B34" s="737"/>
      <c r="C34" s="738"/>
      <c r="D34" s="738"/>
      <c r="E34" s="738"/>
      <c r="F34" s="331"/>
      <c r="G34" s="355"/>
      <c r="H34" s="345"/>
    </row>
    <row r="35" spans="1:8" ht="27.75">
      <c r="A35" s="330"/>
      <c r="B35" s="373"/>
      <c r="C35" s="341"/>
      <c r="D35" s="739" t="s">
        <v>762</v>
      </c>
      <c r="E35" s="739"/>
      <c r="F35" s="330"/>
      <c r="G35" s="366"/>
      <c r="H35" s="339"/>
    </row>
    <row r="36" spans="1:8">
      <c r="A36" s="330"/>
      <c r="B36" s="356"/>
      <c r="G36" s="357"/>
    </row>
    <row r="37" spans="1:8">
      <c r="A37" s="330"/>
      <c r="B37" s="373"/>
      <c r="C37" s="341"/>
      <c r="D37" s="733"/>
      <c r="E37" s="733"/>
      <c r="F37" s="332"/>
      <c r="G37" s="365"/>
      <c r="H37" s="339"/>
    </row>
    <row r="38" spans="1:8">
      <c r="A38" s="330"/>
      <c r="B38" s="356"/>
      <c r="D38" s="733" t="s">
        <v>801</v>
      </c>
      <c r="E38" s="733"/>
      <c r="G38" s="357"/>
    </row>
    <row r="39" spans="1:8" ht="15.75" customHeight="1">
      <c r="A39" s="330"/>
      <c r="B39" s="730"/>
      <c r="C39" s="731"/>
      <c r="D39" s="731"/>
      <c r="E39" s="338"/>
      <c r="F39" s="338"/>
      <c r="G39" s="361"/>
      <c r="H39" s="331"/>
    </row>
    <row r="40" spans="1:8">
      <c r="A40" s="330"/>
      <c r="B40" s="730"/>
      <c r="C40" s="731"/>
      <c r="D40" s="731"/>
      <c r="E40" s="338"/>
      <c r="F40" s="338"/>
      <c r="G40" s="361"/>
      <c r="H40" s="331"/>
    </row>
    <row r="41" spans="1:8" ht="36" customHeight="1">
      <c r="A41" s="330"/>
      <c r="B41" s="356"/>
      <c r="D41" s="732" t="s">
        <v>806</v>
      </c>
      <c r="E41" s="732"/>
      <c r="F41" s="338"/>
      <c r="G41" s="361"/>
    </row>
    <row r="42" spans="1:8">
      <c r="A42" s="330"/>
      <c r="B42" s="354"/>
      <c r="C42" s="331"/>
      <c r="D42" s="331"/>
      <c r="E42" s="338"/>
      <c r="F42" s="338"/>
      <c r="G42" s="361"/>
      <c r="H42" s="331"/>
    </row>
    <row r="43" spans="1:8">
      <c r="A43" s="330"/>
      <c r="B43" s="354"/>
      <c r="C43" s="331"/>
      <c r="D43" s="733" t="s">
        <v>802</v>
      </c>
      <c r="E43" s="733"/>
      <c r="F43" s="338"/>
      <c r="G43" s="361"/>
      <c r="H43" s="331"/>
    </row>
    <row r="44" spans="1:8">
      <c r="A44" s="330"/>
      <c r="B44" s="354"/>
      <c r="C44" s="331"/>
      <c r="D44" s="734" t="s">
        <v>807</v>
      </c>
      <c r="E44" s="734"/>
      <c r="F44" s="338"/>
      <c r="G44" s="361"/>
      <c r="H44" s="331"/>
    </row>
    <row r="45" spans="1:8" ht="15.75" customHeight="1">
      <c r="A45" s="330"/>
      <c r="B45" s="735"/>
      <c r="C45" s="736"/>
      <c r="D45" s="736"/>
      <c r="E45" s="338"/>
      <c r="F45" s="338"/>
      <c r="G45" s="361"/>
    </row>
    <row r="46" spans="1:8">
      <c r="A46" s="330"/>
      <c r="B46" s="735"/>
      <c r="C46" s="736"/>
      <c r="D46" s="736"/>
      <c r="E46" s="338"/>
      <c r="F46" s="338"/>
      <c r="G46" s="361"/>
    </row>
    <row r="47" spans="1:8">
      <c r="A47" s="330"/>
      <c r="B47" s="354"/>
      <c r="C47" s="331"/>
      <c r="E47" s="338"/>
      <c r="F47" s="338"/>
      <c r="G47" s="361"/>
    </row>
    <row r="48" spans="1:8">
      <c r="A48" s="330"/>
      <c r="B48" s="737"/>
      <c r="C48" s="738"/>
      <c r="D48" s="738"/>
      <c r="E48" s="338"/>
      <c r="F48" s="338"/>
      <c r="G48" s="361"/>
      <c r="H48" s="331"/>
    </row>
    <row r="49" spans="1:11">
      <c r="A49" s="330"/>
      <c r="B49" s="356"/>
      <c r="E49" s="338"/>
      <c r="F49" s="338"/>
      <c r="G49" s="361"/>
    </row>
    <row r="50" spans="1:11">
      <c r="A50" s="330"/>
      <c r="B50" s="356"/>
      <c r="E50" s="338"/>
      <c r="F50" s="338"/>
      <c r="G50" s="361"/>
      <c r="K50" t="s">
        <v>795</v>
      </c>
    </row>
    <row r="51" spans="1:11">
      <c r="A51" s="330"/>
      <c r="B51" s="356"/>
      <c r="E51" s="338"/>
      <c r="F51" s="338"/>
      <c r="G51" s="361"/>
      <c r="H51" s="350"/>
      <c r="K51" t="s">
        <v>796</v>
      </c>
    </row>
    <row r="52" spans="1:11">
      <c r="A52" s="330"/>
      <c r="B52" s="356"/>
      <c r="E52" s="338"/>
      <c r="F52" s="338"/>
      <c r="G52" s="361"/>
    </row>
    <row r="53" spans="1:11">
      <c r="A53" s="330"/>
      <c r="B53" s="744"/>
      <c r="C53" s="745"/>
      <c r="D53" s="746"/>
      <c r="E53" s="338"/>
      <c r="F53" s="338"/>
      <c r="G53" s="361"/>
      <c r="H53" s="331"/>
    </row>
    <row r="54" spans="1:11">
      <c r="A54" s="330"/>
      <c r="B54" s="356"/>
      <c r="D54" s="357"/>
      <c r="E54" s="338"/>
      <c r="F54" s="338"/>
      <c r="G54" s="361"/>
    </row>
    <row r="55" spans="1:11">
      <c r="A55" s="330"/>
      <c r="B55" s="356"/>
      <c r="D55" s="367" t="s">
        <v>797</v>
      </c>
      <c r="E55" s="338"/>
      <c r="F55" s="338"/>
      <c r="G55" s="361"/>
    </row>
    <row r="56" spans="1:11">
      <c r="A56" s="330"/>
      <c r="B56" s="356"/>
      <c r="D56" s="357" t="s">
        <v>798</v>
      </c>
      <c r="E56" s="338"/>
      <c r="F56" s="338"/>
      <c r="G56" s="361"/>
      <c r="H56" s="351"/>
    </row>
    <row r="57" spans="1:11">
      <c r="A57" s="330"/>
      <c r="B57" s="354"/>
      <c r="C57" s="331"/>
      <c r="D57" s="355" t="s">
        <v>799</v>
      </c>
      <c r="E57" s="338"/>
      <c r="F57" s="338"/>
      <c r="G57" s="361"/>
      <c r="H57" s="331"/>
    </row>
    <row r="58" spans="1:11">
      <c r="A58" s="330"/>
      <c r="B58" s="354"/>
      <c r="C58" s="331"/>
      <c r="D58" s="355" t="s">
        <v>800</v>
      </c>
      <c r="E58" s="338"/>
      <c r="F58" s="338"/>
      <c r="G58" s="361"/>
      <c r="H58" s="331"/>
    </row>
    <row r="59" spans="1:11">
      <c r="A59" s="330"/>
      <c r="B59" s="354"/>
      <c r="C59" s="331"/>
      <c r="D59" s="355"/>
      <c r="E59" s="338"/>
      <c r="F59" s="338"/>
      <c r="G59" s="361"/>
      <c r="H59" s="331"/>
    </row>
    <row r="60" spans="1:11">
      <c r="A60" s="330"/>
      <c r="B60" s="354"/>
      <c r="C60" s="331"/>
      <c r="D60" s="355"/>
      <c r="E60" s="338"/>
      <c r="F60" s="338"/>
      <c r="G60" s="361"/>
      <c r="H60" s="331"/>
    </row>
    <row r="61" spans="1:11" ht="9.75" customHeight="1">
      <c r="A61" s="330"/>
      <c r="B61" s="368"/>
      <c r="C61" s="369"/>
      <c r="D61" s="370"/>
      <c r="E61" s="371"/>
      <c r="F61" s="371"/>
      <c r="G61" s="372"/>
      <c r="H61" s="331"/>
    </row>
    <row r="62" spans="1:11" ht="15.75" customHeight="1">
      <c r="A62" s="330"/>
      <c r="B62" s="736"/>
      <c r="C62" s="736"/>
      <c r="D62" s="736"/>
      <c r="E62" s="338"/>
      <c r="F62" s="338"/>
      <c r="G62" s="338"/>
      <c r="H62" s="345"/>
    </row>
    <row r="63" spans="1:11">
      <c r="A63" s="330"/>
      <c r="B63" s="736"/>
      <c r="C63" s="736"/>
      <c r="D63" s="736"/>
      <c r="E63" s="338"/>
      <c r="F63" s="338"/>
      <c r="G63" s="338"/>
    </row>
    <row r="64" spans="1:11">
      <c r="A64" s="328"/>
      <c r="B64" s="747"/>
      <c r="C64" s="747"/>
      <c r="D64" s="747"/>
      <c r="E64" s="747"/>
      <c r="F64" s="747"/>
      <c r="G64" s="747"/>
      <c r="H64" s="747"/>
    </row>
    <row r="65" spans="1:8">
      <c r="A65" s="329"/>
      <c r="B65" s="747"/>
      <c r="C65" s="747"/>
      <c r="D65" s="747"/>
      <c r="E65" s="747"/>
      <c r="F65" s="747"/>
      <c r="G65" s="747"/>
      <c r="H65" s="747"/>
    </row>
    <row r="66" spans="1:8" ht="10.5" customHeight="1">
      <c r="A66" s="330"/>
      <c r="B66" s="748"/>
      <c r="C66" s="749"/>
      <c r="D66" s="749"/>
      <c r="E66" s="749"/>
      <c r="F66" s="352"/>
      <c r="G66" s="353"/>
      <c r="H66" s="332"/>
    </row>
    <row r="67" spans="1:8">
      <c r="A67" s="330"/>
      <c r="B67" s="354"/>
      <c r="C67" s="331"/>
      <c r="D67" s="331"/>
      <c r="E67" s="331"/>
      <c r="F67" s="331"/>
      <c r="G67" s="355"/>
      <c r="H67" s="331"/>
    </row>
    <row r="68" spans="1:8">
      <c r="A68" s="330"/>
      <c r="B68" s="354"/>
      <c r="C68" s="331"/>
      <c r="D68" s="331"/>
      <c r="E68" s="331"/>
      <c r="F68" s="331"/>
      <c r="G68" s="355"/>
      <c r="H68" s="331"/>
    </row>
    <row r="69" spans="1:8">
      <c r="A69" s="330"/>
      <c r="B69" s="737"/>
      <c r="C69" s="738"/>
      <c r="D69" s="738"/>
      <c r="E69" s="738"/>
      <c r="F69" s="331"/>
      <c r="G69" s="355"/>
      <c r="H69" s="331"/>
    </row>
    <row r="70" spans="1:8">
      <c r="A70" s="330"/>
      <c r="B70" s="354"/>
      <c r="C70" s="331"/>
      <c r="D70" s="331"/>
      <c r="E70" s="331"/>
      <c r="F70" s="331"/>
      <c r="G70" s="355"/>
      <c r="H70" s="331"/>
    </row>
    <row r="71" spans="1:8">
      <c r="A71" s="330"/>
      <c r="B71" s="354"/>
      <c r="C71" s="331"/>
      <c r="D71" s="331"/>
      <c r="E71" s="331"/>
      <c r="F71" s="331"/>
      <c r="G71" s="355"/>
      <c r="H71" s="331"/>
    </row>
    <row r="72" spans="1:8">
      <c r="A72" s="330"/>
      <c r="B72" s="354"/>
      <c r="C72" s="331"/>
      <c r="D72" s="331"/>
      <c r="E72" s="331"/>
      <c r="F72" s="331"/>
      <c r="G72" s="355"/>
      <c r="H72" s="331"/>
    </row>
    <row r="73" spans="1:8" ht="30" customHeight="1">
      <c r="A73" s="330"/>
      <c r="B73" s="356"/>
      <c r="D73" s="754"/>
      <c r="E73" s="754"/>
      <c r="F73" s="331"/>
      <c r="G73" s="355"/>
      <c r="H73" s="331"/>
    </row>
    <row r="74" spans="1:8">
      <c r="A74" s="330"/>
      <c r="B74" s="354"/>
      <c r="C74" s="331"/>
      <c r="D74" s="754"/>
      <c r="E74" s="754"/>
      <c r="F74" s="331"/>
      <c r="G74" s="355"/>
      <c r="H74" s="331"/>
    </row>
    <row r="75" spans="1:8">
      <c r="A75" s="330"/>
      <c r="B75" s="354"/>
      <c r="C75" s="331"/>
      <c r="D75" s="754"/>
      <c r="E75" s="754"/>
      <c r="F75" s="331"/>
      <c r="G75" s="355"/>
      <c r="H75" s="331"/>
    </row>
    <row r="76" spans="1:8" ht="26.25" customHeight="1">
      <c r="A76" s="330"/>
      <c r="B76" s="354"/>
      <c r="C76" s="331"/>
      <c r="D76" s="754"/>
      <c r="E76" s="754"/>
      <c r="F76" s="331"/>
      <c r="G76" s="355"/>
      <c r="H76" s="331"/>
    </row>
    <row r="77" spans="1:8">
      <c r="A77" s="330"/>
      <c r="B77" s="354"/>
      <c r="C77" s="331"/>
      <c r="D77" s="754"/>
      <c r="E77" s="754"/>
      <c r="F77" s="331"/>
      <c r="G77" s="355"/>
      <c r="H77" s="331"/>
    </row>
    <row r="78" spans="1:8" ht="27.75" customHeight="1">
      <c r="A78" s="330"/>
      <c r="B78" s="354"/>
      <c r="C78" s="331"/>
      <c r="D78" s="754"/>
      <c r="E78" s="754"/>
      <c r="F78" s="331"/>
      <c r="G78" s="355"/>
      <c r="H78" s="331"/>
    </row>
    <row r="79" spans="1:8" ht="7.5" customHeight="1">
      <c r="A79" s="330"/>
      <c r="B79" s="354"/>
      <c r="C79" s="331"/>
      <c r="D79" s="332"/>
      <c r="E79" s="332"/>
      <c r="F79" s="331"/>
      <c r="G79" s="355"/>
      <c r="H79" s="331"/>
    </row>
    <row r="80" spans="1:8">
      <c r="A80" s="330"/>
      <c r="B80" s="356"/>
      <c r="D80" s="331"/>
      <c r="E80" s="331"/>
      <c r="F80" s="331"/>
      <c r="G80" s="355"/>
      <c r="H80" s="331"/>
    </row>
    <row r="81" spans="1:8">
      <c r="A81" s="330"/>
      <c r="B81" s="354"/>
      <c r="C81" s="331"/>
      <c r="D81" s="332"/>
      <c r="E81" s="332"/>
      <c r="F81" s="331"/>
      <c r="G81" s="355"/>
      <c r="H81" s="331"/>
    </row>
    <row r="82" spans="1:8">
      <c r="A82" s="330"/>
      <c r="B82" s="354"/>
      <c r="C82" s="331"/>
      <c r="D82" s="331"/>
      <c r="E82" s="331"/>
      <c r="F82" s="331"/>
      <c r="G82" s="355"/>
      <c r="H82" s="333"/>
    </row>
    <row r="83" spans="1:8">
      <c r="A83" s="330"/>
      <c r="B83" s="354"/>
      <c r="C83" s="331"/>
      <c r="D83" s="331"/>
      <c r="E83" s="331"/>
      <c r="F83" s="331"/>
      <c r="G83" s="355"/>
      <c r="H83" s="333"/>
    </row>
    <row r="84" spans="1:8">
      <c r="A84" s="330"/>
      <c r="B84" s="354"/>
      <c r="C84" s="331"/>
      <c r="D84" s="331"/>
      <c r="E84" s="331"/>
      <c r="F84" s="331"/>
      <c r="G84" s="355"/>
      <c r="H84" s="333"/>
    </row>
    <row r="85" spans="1:8">
      <c r="A85" s="330"/>
      <c r="B85" s="354"/>
      <c r="C85" s="331"/>
      <c r="D85" s="331"/>
      <c r="E85" s="331"/>
      <c r="F85" s="331"/>
      <c r="G85" s="355"/>
      <c r="H85" s="333"/>
    </row>
    <row r="86" spans="1:8">
      <c r="A86" s="330"/>
      <c r="B86" s="356"/>
      <c r="G86" s="357"/>
      <c r="H86" s="333"/>
    </row>
    <row r="87" spans="1:8" ht="15.75" customHeight="1">
      <c r="A87" s="337"/>
      <c r="B87" s="752"/>
      <c r="C87" s="753"/>
      <c r="D87" s="753"/>
      <c r="E87" s="753"/>
      <c r="F87" s="358"/>
      <c r="G87" s="359"/>
      <c r="H87" s="360"/>
    </row>
    <row r="88" spans="1:8">
      <c r="A88" s="330"/>
      <c r="B88" s="356"/>
      <c r="G88" s="357"/>
    </row>
    <row r="89" spans="1:8">
      <c r="A89" s="330"/>
      <c r="B89" s="354"/>
      <c r="C89" s="733" t="s">
        <v>1537</v>
      </c>
      <c r="D89" s="733"/>
      <c r="E89" s="733"/>
      <c r="F89" s="733"/>
      <c r="G89" s="361"/>
      <c r="H89" s="339"/>
    </row>
    <row r="90" spans="1:8" ht="15.75" customHeight="1">
      <c r="A90" s="330"/>
      <c r="B90" s="740" t="s">
        <v>1536</v>
      </c>
      <c r="C90" s="741"/>
      <c r="D90" s="741"/>
      <c r="E90" s="741"/>
      <c r="F90" s="741"/>
      <c r="G90" s="742"/>
      <c r="H90" s="743"/>
    </row>
    <row r="91" spans="1:8">
      <c r="A91" s="330"/>
      <c r="B91" s="740"/>
      <c r="C91" s="741"/>
      <c r="D91" s="741"/>
      <c r="E91" s="741"/>
      <c r="F91" s="741"/>
      <c r="G91" s="742"/>
      <c r="H91" s="743"/>
    </row>
    <row r="92" spans="1:8">
      <c r="A92" s="330"/>
      <c r="B92" s="363"/>
      <c r="C92" s="343"/>
      <c r="D92" s="343"/>
      <c r="E92" s="343"/>
      <c r="F92" s="343"/>
      <c r="G92" s="362"/>
      <c r="H92" s="344"/>
    </row>
    <row r="93" spans="1:8">
      <c r="A93" s="330"/>
      <c r="B93" s="364"/>
      <c r="C93" s="332"/>
      <c r="D93" s="332"/>
      <c r="E93" s="332"/>
      <c r="F93" s="332"/>
      <c r="G93" s="365"/>
      <c r="H93" s="332"/>
    </row>
    <row r="94" spans="1:8">
      <c r="A94" s="330"/>
      <c r="B94" s="737"/>
      <c r="C94" s="738"/>
      <c r="D94" s="738"/>
      <c r="E94" s="738"/>
      <c r="F94" s="331"/>
      <c r="G94" s="355"/>
      <c r="H94" s="345"/>
    </row>
    <row r="95" spans="1:8" ht="15.75" hidden="1" customHeight="1">
      <c r="A95" s="330"/>
      <c r="B95" s="737" t="s">
        <v>774</v>
      </c>
      <c r="C95" s="738"/>
      <c r="D95" s="738"/>
      <c r="E95" s="738"/>
      <c r="F95" s="331"/>
      <c r="G95" s="355"/>
      <c r="H95" s="345" t="s">
        <v>770</v>
      </c>
    </row>
    <row r="96" spans="1:8" hidden="1">
      <c r="A96" s="330"/>
      <c r="B96" s="354" t="s">
        <v>775</v>
      </c>
      <c r="C96" s="331"/>
      <c r="D96" s="331"/>
      <c r="E96" s="331"/>
      <c r="F96" s="331"/>
      <c r="G96" s="355"/>
      <c r="H96" s="345" t="s">
        <v>770</v>
      </c>
    </row>
    <row r="97" spans="1:8">
      <c r="A97" s="330"/>
      <c r="B97" s="737"/>
      <c r="C97" s="738"/>
      <c r="D97" s="738"/>
      <c r="E97" s="738"/>
      <c r="F97" s="331"/>
      <c r="G97" s="355"/>
      <c r="H97" s="345"/>
    </row>
    <row r="98" spans="1:8" ht="27.75">
      <c r="A98" s="330"/>
      <c r="B98" s="373"/>
      <c r="C98" s="341"/>
      <c r="D98" s="739"/>
      <c r="E98" s="739"/>
      <c r="F98" s="330"/>
      <c r="G98" s="366"/>
      <c r="H98" s="339"/>
    </row>
    <row r="99" spans="1:8">
      <c r="A99" s="330"/>
      <c r="B99" s="356"/>
      <c r="G99" s="357"/>
    </row>
    <row r="100" spans="1:8">
      <c r="A100" s="330"/>
      <c r="B100" s="373"/>
      <c r="C100" s="341"/>
      <c r="D100" s="733"/>
      <c r="E100" s="733"/>
      <c r="F100" s="332"/>
      <c r="G100" s="365"/>
      <c r="H100" s="339"/>
    </row>
    <row r="101" spans="1:8">
      <c r="A101" s="330"/>
      <c r="B101" s="356"/>
      <c r="D101" s="733"/>
      <c r="E101" s="733"/>
      <c r="G101" s="357"/>
    </row>
    <row r="102" spans="1:8" ht="15.75" customHeight="1">
      <c r="A102" s="330"/>
      <c r="B102" s="730"/>
      <c r="C102" s="731"/>
      <c r="D102" s="731"/>
      <c r="E102" s="338"/>
      <c r="F102" s="338"/>
      <c r="G102" s="361"/>
      <c r="H102" s="331"/>
    </row>
    <row r="103" spans="1:8">
      <c r="A103" s="330"/>
      <c r="B103" s="730"/>
      <c r="C103" s="731"/>
      <c r="D103" s="731"/>
      <c r="E103" s="338"/>
      <c r="F103" s="338"/>
      <c r="G103" s="361"/>
      <c r="H103" s="331"/>
    </row>
    <row r="104" spans="1:8" ht="36" customHeight="1">
      <c r="A104" s="330"/>
      <c r="B104" s="356"/>
      <c r="D104" s="732"/>
      <c r="E104" s="732"/>
      <c r="F104" s="338"/>
      <c r="G104" s="361"/>
    </row>
    <row r="105" spans="1:8">
      <c r="A105" s="330"/>
      <c r="B105" s="354"/>
      <c r="C105" s="331"/>
      <c r="D105" s="331"/>
      <c r="E105" s="338"/>
      <c r="F105" s="338"/>
      <c r="G105" s="361"/>
      <c r="H105" s="331"/>
    </row>
    <row r="106" spans="1:8">
      <c r="A106" s="330"/>
      <c r="B106" s="354"/>
      <c r="C106" s="331"/>
      <c r="D106" s="733"/>
      <c r="E106" s="733"/>
      <c r="F106" s="338"/>
      <c r="G106" s="361"/>
      <c r="H106" s="331"/>
    </row>
    <row r="107" spans="1:8">
      <c r="A107" s="330"/>
      <c r="B107" s="354"/>
      <c r="C107" s="331"/>
      <c r="D107" s="734"/>
      <c r="E107" s="734"/>
      <c r="F107" s="338"/>
      <c r="G107" s="361"/>
      <c r="H107" s="331"/>
    </row>
    <row r="108" spans="1:8" ht="15.75" customHeight="1">
      <c r="A108" s="330"/>
      <c r="B108" s="735"/>
      <c r="C108" s="736"/>
      <c r="D108" s="736"/>
      <c r="E108" s="338"/>
      <c r="F108" s="338"/>
      <c r="G108" s="361"/>
    </row>
    <row r="109" spans="1:8">
      <c r="A109" s="330"/>
      <c r="B109" s="735"/>
      <c r="C109" s="736"/>
      <c r="D109" s="736"/>
      <c r="E109" s="338"/>
      <c r="F109" s="338"/>
      <c r="G109" s="361"/>
    </row>
    <row r="110" spans="1:8">
      <c r="A110" s="330"/>
      <c r="B110" s="354"/>
      <c r="C110" s="331"/>
      <c r="E110" s="338"/>
      <c r="F110" s="338"/>
      <c r="G110" s="361"/>
    </row>
    <row r="111" spans="1:8">
      <c r="A111" s="330"/>
      <c r="B111" s="737"/>
      <c r="C111" s="738"/>
      <c r="D111" s="738"/>
      <c r="E111" s="338"/>
      <c r="F111" s="338"/>
      <c r="G111" s="361"/>
      <c r="H111" s="331"/>
    </row>
    <row r="112" spans="1:8">
      <c r="A112" s="330"/>
      <c r="B112" s="356"/>
      <c r="E112" s="338"/>
      <c r="F112" s="338"/>
      <c r="G112" s="361"/>
    </row>
    <row r="113" spans="1:11">
      <c r="A113" s="330"/>
      <c r="B113" s="356"/>
      <c r="E113" s="338"/>
      <c r="F113" s="338"/>
      <c r="G113" s="361"/>
      <c r="K113" t="s">
        <v>795</v>
      </c>
    </row>
    <row r="114" spans="1:11">
      <c r="A114" s="330"/>
      <c r="B114" s="356"/>
      <c r="E114" s="338"/>
      <c r="F114" s="338"/>
      <c r="G114" s="361"/>
      <c r="H114" s="350"/>
      <c r="K114" t="s">
        <v>796</v>
      </c>
    </row>
    <row r="115" spans="1:11">
      <c r="A115" s="330"/>
      <c r="B115" s="356"/>
      <c r="E115" s="338"/>
      <c r="F115" s="338"/>
      <c r="G115" s="361"/>
    </row>
    <row r="116" spans="1:11">
      <c r="A116" s="330"/>
      <c r="B116" s="354"/>
      <c r="C116" s="733" t="s">
        <v>1538</v>
      </c>
      <c r="D116" s="733"/>
      <c r="E116" s="733"/>
      <c r="F116" s="733"/>
      <c r="G116" s="361"/>
      <c r="H116" s="331"/>
    </row>
    <row r="117" spans="1:11">
      <c r="A117" s="330"/>
      <c r="B117" s="740" t="s">
        <v>1536</v>
      </c>
      <c r="C117" s="741"/>
      <c r="D117" s="741"/>
      <c r="E117" s="741"/>
      <c r="F117" s="741"/>
      <c r="G117" s="742"/>
    </row>
    <row r="118" spans="1:11">
      <c r="A118" s="330"/>
      <c r="B118" s="740"/>
      <c r="C118" s="741"/>
      <c r="D118" s="741"/>
      <c r="E118" s="741"/>
      <c r="F118" s="741"/>
      <c r="G118" s="742"/>
    </row>
    <row r="119" spans="1:11">
      <c r="A119" s="330"/>
      <c r="B119" s="518"/>
      <c r="C119" s="519"/>
      <c r="D119" s="520"/>
      <c r="E119" s="338"/>
      <c r="F119" s="338"/>
      <c r="G119" s="361"/>
      <c r="H119" s="351"/>
    </row>
    <row r="120" spans="1:11">
      <c r="A120" s="330"/>
      <c r="B120" s="354"/>
      <c r="C120" s="331"/>
      <c r="D120" s="367" t="s">
        <v>797</v>
      </c>
      <c r="E120" s="338"/>
      <c r="F120" s="338"/>
      <c r="G120" s="361"/>
      <c r="H120" s="331"/>
    </row>
    <row r="121" spans="1:11">
      <c r="A121" s="330"/>
      <c r="B121" s="354"/>
      <c r="C121" s="331"/>
      <c r="D121" s="357" t="s">
        <v>798</v>
      </c>
      <c r="E121" s="338"/>
      <c r="F121" s="338"/>
      <c r="G121" s="361"/>
      <c r="H121" s="331"/>
    </row>
    <row r="122" spans="1:11">
      <c r="A122" s="330"/>
      <c r="B122" s="354"/>
      <c r="C122" s="331"/>
      <c r="D122" s="355" t="s">
        <v>799</v>
      </c>
      <c r="E122" s="338"/>
      <c r="F122" s="338"/>
      <c r="G122" s="361"/>
      <c r="H122" s="331"/>
    </row>
    <row r="123" spans="1:11">
      <c r="A123" s="330"/>
      <c r="B123" s="354"/>
      <c r="C123" s="331"/>
      <c r="D123" s="355" t="s">
        <v>800</v>
      </c>
      <c r="E123" s="338"/>
      <c r="F123" s="338"/>
      <c r="G123" s="361"/>
      <c r="H123" s="331"/>
    </row>
    <row r="124" spans="1:11" ht="9.75" customHeight="1">
      <c r="A124" s="330"/>
      <c r="B124" s="368"/>
      <c r="C124" s="369"/>
      <c r="D124" s="370"/>
      <c r="E124" s="371"/>
      <c r="F124" s="371"/>
      <c r="G124" s="372"/>
      <c r="H124" s="331"/>
    </row>
    <row r="125" spans="1:11" ht="15.75" customHeight="1">
      <c r="A125" s="330"/>
      <c r="B125" s="736"/>
      <c r="C125" s="736"/>
      <c r="D125" s="736"/>
      <c r="E125" s="338"/>
      <c r="F125" s="338"/>
      <c r="G125" s="338"/>
      <c r="H125" s="345"/>
    </row>
    <row r="126" spans="1:11">
      <c r="A126" s="330"/>
      <c r="B126" s="736"/>
      <c r="C126" s="736"/>
      <c r="D126" s="736"/>
      <c r="E126" s="338"/>
      <c r="F126" s="338"/>
      <c r="G126" s="338"/>
    </row>
    <row r="127" spans="1:11">
      <c r="A127" s="328"/>
      <c r="B127" s="747"/>
      <c r="C127" s="747"/>
      <c r="D127" s="747"/>
      <c r="E127" s="747"/>
      <c r="F127" s="747"/>
      <c r="G127" s="747"/>
      <c r="H127" s="747"/>
    </row>
    <row r="128" spans="1:11">
      <c r="A128" s="329"/>
      <c r="B128" s="747"/>
      <c r="C128" s="747"/>
      <c r="D128" s="747"/>
      <c r="E128" s="747"/>
      <c r="F128" s="747"/>
      <c r="G128" s="747"/>
      <c r="H128" s="747"/>
    </row>
    <row r="129" spans="1:8" ht="10.5" customHeight="1">
      <c r="A129" s="330"/>
      <c r="B129" s="748"/>
      <c r="C129" s="749"/>
      <c r="D129" s="749"/>
      <c r="E129" s="749"/>
      <c r="F129" s="352"/>
      <c r="G129" s="353"/>
      <c r="H129" s="332"/>
    </row>
    <row r="130" spans="1:8">
      <c r="A130" s="330"/>
      <c r="B130" s="354"/>
      <c r="C130" s="331"/>
      <c r="D130" s="331"/>
      <c r="E130" s="331"/>
      <c r="F130" s="331"/>
      <c r="G130" s="355"/>
      <c r="H130" s="331"/>
    </row>
    <row r="131" spans="1:8">
      <c r="A131" s="330"/>
      <c r="B131" s="354"/>
      <c r="C131" s="331"/>
      <c r="D131" s="331"/>
      <c r="E131" s="331"/>
      <c r="F131" s="331"/>
      <c r="G131" s="355"/>
      <c r="H131" s="331"/>
    </row>
    <row r="132" spans="1:8">
      <c r="A132" s="330"/>
      <c r="B132" s="737"/>
      <c r="C132" s="738"/>
      <c r="D132" s="738"/>
      <c r="E132" s="738"/>
      <c r="F132" s="331"/>
      <c r="G132" s="355"/>
      <c r="H132" s="331"/>
    </row>
    <row r="133" spans="1:8">
      <c r="A133" s="330"/>
      <c r="B133" s="354"/>
      <c r="C133" s="331"/>
      <c r="D133" s="331"/>
      <c r="E133" s="331"/>
      <c r="F133" s="331"/>
      <c r="G133" s="355"/>
      <c r="H133" s="331"/>
    </row>
    <row r="134" spans="1:8">
      <c r="A134" s="330"/>
      <c r="B134" s="354"/>
      <c r="C134" s="331"/>
      <c r="D134" s="331"/>
      <c r="E134" s="331"/>
      <c r="F134" s="331"/>
      <c r="G134" s="355"/>
      <c r="H134" s="331"/>
    </row>
    <row r="135" spans="1:8">
      <c r="A135" s="330"/>
      <c r="B135" s="354"/>
      <c r="C135" s="331"/>
      <c r="D135" s="331"/>
      <c r="E135" s="331"/>
      <c r="F135" s="331"/>
      <c r="G135" s="355"/>
      <c r="H135" s="331"/>
    </row>
    <row r="136" spans="1:8" ht="30" customHeight="1">
      <c r="A136" s="330"/>
      <c r="B136" s="356"/>
      <c r="D136" s="754"/>
      <c r="E136" s="754"/>
      <c r="F136" s="331"/>
      <c r="G136" s="355"/>
      <c r="H136" s="331"/>
    </row>
    <row r="137" spans="1:8">
      <c r="A137" s="330"/>
      <c r="B137" s="354"/>
      <c r="C137" s="331"/>
      <c r="D137" s="754"/>
      <c r="E137" s="754"/>
      <c r="F137" s="331"/>
      <c r="G137" s="355"/>
      <c r="H137" s="331"/>
    </row>
    <row r="138" spans="1:8">
      <c r="A138" s="330"/>
      <c r="B138" s="354"/>
      <c r="C138" s="331"/>
      <c r="D138" s="754"/>
      <c r="E138" s="754"/>
      <c r="F138" s="331"/>
      <c r="G138" s="355"/>
      <c r="H138" s="331"/>
    </row>
    <row r="139" spans="1:8" ht="26.25" customHeight="1">
      <c r="A139" s="330"/>
      <c r="B139" s="354"/>
      <c r="C139" s="331"/>
      <c r="D139" s="754"/>
      <c r="E139" s="754"/>
      <c r="F139" s="331"/>
      <c r="G139" s="355"/>
      <c r="H139" s="331"/>
    </row>
    <row r="140" spans="1:8">
      <c r="A140" s="330"/>
      <c r="B140" s="354"/>
      <c r="C140" s="331"/>
      <c r="D140" s="754"/>
      <c r="E140" s="754"/>
      <c r="F140" s="331"/>
      <c r="G140" s="355"/>
      <c r="H140" s="331"/>
    </row>
    <row r="141" spans="1:8" ht="27.75" customHeight="1">
      <c r="A141" s="330"/>
      <c r="B141" s="354"/>
      <c r="C141" s="331"/>
      <c r="D141" s="754"/>
      <c r="E141" s="754"/>
      <c r="F141" s="331"/>
      <c r="G141" s="355"/>
      <c r="H141" s="331"/>
    </row>
    <row r="142" spans="1:8" ht="7.5" customHeight="1">
      <c r="A142" s="330"/>
      <c r="B142" s="354"/>
      <c r="C142" s="331"/>
      <c r="D142" s="332"/>
      <c r="E142" s="332"/>
      <c r="F142" s="331"/>
      <c r="G142" s="355"/>
      <c r="H142" s="331"/>
    </row>
    <row r="143" spans="1:8">
      <c r="A143" s="330"/>
      <c r="B143" s="356"/>
      <c r="D143" s="331"/>
      <c r="E143" s="331"/>
      <c r="F143" s="331"/>
      <c r="G143" s="355"/>
      <c r="H143" s="331"/>
    </row>
    <row r="144" spans="1:8">
      <c r="A144" s="330"/>
      <c r="B144" s="354"/>
      <c r="C144" s="331"/>
      <c r="D144" s="332"/>
      <c r="E144" s="332"/>
      <c r="F144" s="331"/>
      <c r="G144" s="355"/>
      <c r="H144" s="331"/>
    </row>
    <row r="145" spans="1:8">
      <c r="A145" s="330"/>
      <c r="B145" s="354"/>
      <c r="C145" s="331"/>
      <c r="D145" s="331"/>
      <c r="E145" s="331"/>
      <c r="F145" s="331"/>
      <c r="G145" s="355"/>
      <c r="H145" s="333"/>
    </row>
    <row r="146" spans="1:8">
      <c r="A146" s="330"/>
      <c r="B146" s="354"/>
      <c r="C146" s="331"/>
      <c r="D146" s="331"/>
      <c r="E146" s="331"/>
      <c r="F146" s="331"/>
      <c r="G146" s="355"/>
      <c r="H146" s="333"/>
    </row>
    <row r="147" spans="1:8">
      <c r="A147" s="330"/>
      <c r="B147" s="354"/>
      <c r="C147" s="331"/>
      <c r="D147" s="331"/>
      <c r="E147" s="331"/>
      <c r="F147" s="331"/>
      <c r="G147" s="355"/>
      <c r="H147" s="333"/>
    </row>
    <row r="148" spans="1:8">
      <c r="A148" s="330"/>
      <c r="B148" s="354"/>
      <c r="C148" s="331"/>
      <c r="D148" s="331"/>
      <c r="E148" s="331"/>
      <c r="F148" s="331"/>
      <c r="G148" s="355"/>
      <c r="H148" s="333"/>
    </row>
    <row r="149" spans="1:8">
      <c r="A149" s="330"/>
      <c r="B149" s="356"/>
      <c r="G149" s="357"/>
      <c r="H149" s="333"/>
    </row>
    <row r="150" spans="1:8" ht="15.75" customHeight="1">
      <c r="A150" s="337"/>
      <c r="B150" s="752"/>
      <c r="C150" s="753"/>
      <c r="D150" s="753"/>
      <c r="E150" s="753"/>
      <c r="F150" s="358"/>
      <c r="G150" s="359"/>
      <c r="H150" s="360"/>
    </row>
    <row r="151" spans="1:8">
      <c r="A151" s="330"/>
      <c r="B151" s="356"/>
      <c r="G151" s="357"/>
    </row>
    <row r="152" spans="1:8">
      <c r="A152" s="330"/>
      <c r="B152" s="354"/>
      <c r="C152" s="733" t="s">
        <v>1537</v>
      </c>
      <c r="D152" s="733"/>
      <c r="E152" s="733"/>
      <c r="F152" s="733"/>
      <c r="G152" s="361"/>
      <c r="H152" s="339"/>
    </row>
    <row r="153" spans="1:8" ht="15.75" customHeight="1">
      <c r="A153" s="330"/>
      <c r="B153" s="740" t="s">
        <v>1539</v>
      </c>
      <c r="C153" s="741"/>
      <c r="D153" s="741"/>
      <c r="E153" s="741"/>
      <c r="F153" s="741"/>
      <c r="G153" s="742"/>
      <c r="H153" s="743"/>
    </row>
    <row r="154" spans="1:8">
      <c r="A154" s="330"/>
      <c r="B154" s="740"/>
      <c r="C154" s="741"/>
      <c r="D154" s="741"/>
      <c r="E154" s="741"/>
      <c r="F154" s="741"/>
      <c r="G154" s="742"/>
      <c r="H154" s="743"/>
    </row>
    <row r="155" spans="1:8">
      <c r="A155" s="330"/>
      <c r="B155" s="363"/>
      <c r="C155" s="343"/>
      <c r="D155" s="343"/>
      <c r="E155" s="343"/>
      <c r="F155" s="343"/>
      <c r="G155" s="362"/>
      <c r="H155" s="344"/>
    </row>
    <row r="156" spans="1:8">
      <c r="A156" s="330"/>
      <c r="B156" s="364"/>
      <c r="C156" s="332"/>
      <c r="D156" s="332"/>
      <c r="E156" s="332"/>
      <c r="F156" s="332"/>
      <c r="G156" s="365"/>
      <c r="H156" s="332"/>
    </row>
    <row r="157" spans="1:8">
      <c r="A157" s="330"/>
      <c r="B157" s="356"/>
      <c r="F157" s="331"/>
      <c r="G157" s="355"/>
      <c r="H157" s="345"/>
    </row>
    <row r="158" spans="1:8" ht="15.75" hidden="1" customHeight="1">
      <c r="A158" s="330"/>
      <c r="B158" s="356" t="s">
        <v>774</v>
      </c>
      <c r="F158" s="331"/>
      <c r="G158" s="355"/>
      <c r="H158" s="345" t="s">
        <v>770</v>
      </c>
    </row>
    <row r="159" spans="1:8" ht="15.75" hidden="1" customHeight="1">
      <c r="A159" s="330"/>
      <c r="B159" s="354" t="s">
        <v>775</v>
      </c>
      <c r="C159" s="331"/>
      <c r="D159" s="331"/>
      <c r="E159" s="331"/>
      <c r="F159" s="331"/>
      <c r="G159" s="355"/>
      <c r="H159" s="345" t="s">
        <v>770</v>
      </c>
    </row>
    <row r="160" spans="1:8">
      <c r="A160" s="330"/>
      <c r="B160" s="356"/>
      <c r="F160" s="331"/>
      <c r="G160" s="355"/>
      <c r="H160" s="345"/>
    </row>
    <row r="161" spans="1:11" ht="27.75">
      <c r="A161" s="330"/>
      <c r="B161" s="373"/>
      <c r="C161" s="341"/>
      <c r="D161" s="521"/>
      <c r="E161" s="521"/>
      <c r="F161" s="330"/>
      <c r="G161" s="366"/>
      <c r="H161" s="339"/>
    </row>
    <row r="162" spans="1:11">
      <c r="A162" s="330"/>
      <c r="B162" s="356"/>
      <c r="G162" s="357"/>
    </row>
    <row r="163" spans="1:11">
      <c r="A163" s="330"/>
      <c r="B163" s="373"/>
      <c r="C163" s="341"/>
      <c r="D163" s="341"/>
      <c r="E163" s="341"/>
      <c r="F163" s="332"/>
      <c r="G163" s="365"/>
      <c r="H163" s="339"/>
    </row>
    <row r="164" spans="1:11">
      <c r="A164" s="330"/>
      <c r="B164" s="356"/>
      <c r="D164" s="341"/>
      <c r="E164" s="341"/>
      <c r="G164" s="357"/>
    </row>
    <row r="165" spans="1:11" ht="15.75" customHeight="1">
      <c r="A165" s="330"/>
      <c r="B165" s="516"/>
      <c r="C165" s="517"/>
      <c r="D165" s="517"/>
      <c r="E165" s="338"/>
      <c r="F165" s="338"/>
      <c r="G165" s="361"/>
      <c r="H165" s="331"/>
    </row>
    <row r="166" spans="1:11">
      <c r="A166" s="330"/>
      <c r="B166" s="516"/>
      <c r="C166" s="517"/>
      <c r="D166" s="517"/>
      <c r="E166" s="338"/>
      <c r="F166" s="338"/>
      <c r="G166" s="361"/>
      <c r="H166" s="331"/>
    </row>
    <row r="167" spans="1:11" ht="36" customHeight="1">
      <c r="A167" s="330"/>
      <c r="B167" s="356"/>
      <c r="D167" s="522"/>
      <c r="E167" s="522"/>
      <c r="F167" s="338"/>
      <c r="G167" s="361"/>
    </row>
    <row r="168" spans="1:11">
      <c r="A168" s="330"/>
      <c r="B168" s="354"/>
      <c r="C168" s="331"/>
      <c r="D168" s="331"/>
      <c r="E168" s="338"/>
      <c r="F168" s="338"/>
      <c r="G168" s="361"/>
      <c r="H168" s="331"/>
    </row>
    <row r="169" spans="1:11">
      <c r="A169" s="330"/>
      <c r="B169" s="354"/>
      <c r="C169" s="331"/>
      <c r="D169" s="733"/>
      <c r="E169" s="733"/>
      <c r="F169" s="338"/>
      <c r="G169" s="361"/>
      <c r="H169" s="331"/>
    </row>
    <row r="170" spans="1:11">
      <c r="A170" s="330"/>
      <c r="B170" s="354"/>
      <c r="C170" s="331"/>
      <c r="D170" s="734"/>
      <c r="E170" s="734"/>
      <c r="F170" s="338"/>
      <c r="G170" s="361"/>
      <c r="H170" s="331"/>
    </row>
    <row r="171" spans="1:11" ht="15.75" customHeight="1">
      <c r="A171" s="330"/>
      <c r="B171" s="735"/>
      <c r="C171" s="736"/>
      <c r="D171" s="736"/>
      <c r="E171" s="338"/>
      <c r="F171" s="338"/>
      <c r="G171" s="361"/>
    </row>
    <row r="172" spans="1:11">
      <c r="A172" s="330"/>
      <c r="B172" s="735"/>
      <c r="C172" s="736"/>
      <c r="D172" s="736"/>
      <c r="E172" s="338"/>
      <c r="F172" s="338"/>
      <c r="G172" s="361"/>
    </row>
    <row r="173" spans="1:11">
      <c r="A173" s="330"/>
      <c r="B173" s="354"/>
      <c r="C173" s="331"/>
      <c r="E173" s="338"/>
      <c r="F173" s="338"/>
      <c r="G173" s="361"/>
    </row>
    <row r="174" spans="1:11">
      <c r="A174" s="330"/>
      <c r="B174" s="737"/>
      <c r="C174" s="738"/>
      <c r="D174" s="738"/>
      <c r="E174" s="338"/>
      <c r="F174" s="338"/>
      <c r="G174" s="361"/>
      <c r="H174" s="331"/>
    </row>
    <row r="175" spans="1:11">
      <c r="A175" s="330"/>
      <c r="B175" s="356"/>
      <c r="E175" s="338"/>
      <c r="F175" s="338"/>
      <c r="G175" s="361"/>
    </row>
    <row r="176" spans="1:11">
      <c r="A176" s="330"/>
      <c r="B176" s="356"/>
      <c r="E176" s="338"/>
      <c r="F176" s="338"/>
      <c r="G176" s="361"/>
      <c r="K176" t="s">
        <v>795</v>
      </c>
    </row>
    <row r="177" spans="1:11">
      <c r="A177" s="330"/>
      <c r="B177" s="356"/>
      <c r="E177" s="338"/>
      <c r="F177" s="338"/>
      <c r="G177" s="361"/>
      <c r="H177" s="350"/>
      <c r="K177" t="s">
        <v>796</v>
      </c>
    </row>
    <row r="178" spans="1:11" ht="15.75" customHeight="1">
      <c r="A178" s="330"/>
      <c r="B178" s="356"/>
      <c r="E178" s="338"/>
      <c r="F178" s="338"/>
      <c r="G178" s="361"/>
    </row>
    <row r="179" spans="1:11" ht="15.75" customHeight="1">
      <c r="A179" s="330"/>
      <c r="B179" s="354"/>
      <c r="C179" s="733" t="s">
        <v>1538</v>
      </c>
      <c r="D179" s="733"/>
      <c r="E179" s="733"/>
      <c r="F179" s="733"/>
      <c r="G179" s="361"/>
      <c r="H179" s="331"/>
    </row>
    <row r="180" spans="1:11">
      <c r="A180" s="330"/>
      <c r="B180" s="740" t="s">
        <v>1539</v>
      </c>
      <c r="C180" s="741"/>
      <c r="D180" s="741"/>
      <c r="E180" s="741"/>
      <c r="F180" s="741"/>
      <c r="G180" s="742"/>
    </row>
    <row r="181" spans="1:11">
      <c r="A181" s="330"/>
      <c r="B181" s="740"/>
      <c r="C181" s="741"/>
      <c r="D181" s="741"/>
      <c r="E181" s="741"/>
      <c r="F181" s="741"/>
      <c r="G181" s="742"/>
    </row>
    <row r="182" spans="1:11">
      <c r="A182" s="330"/>
      <c r="B182" s="518"/>
      <c r="C182" s="519"/>
      <c r="D182" s="520"/>
      <c r="E182" s="338"/>
      <c r="F182" s="338"/>
      <c r="G182" s="361"/>
      <c r="H182" s="351"/>
    </row>
    <row r="183" spans="1:11">
      <c r="A183" s="330"/>
      <c r="B183" s="354"/>
      <c r="C183" s="331"/>
      <c r="D183" s="367" t="s">
        <v>797</v>
      </c>
      <c r="E183" s="338"/>
      <c r="F183" s="338"/>
      <c r="G183" s="361"/>
      <c r="H183" s="331"/>
    </row>
    <row r="184" spans="1:11">
      <c r="A184" s="330"/>
      <c r="B184" s="354"/>
      <c r="C184" s="331"/>
      <c r="D184" s="357" t="s">
        <v>798</v>
      </c>
      <c r="E184" s="338"/>
      <c r="F184" s="338"/>
      <c r="G184" s="361"/>
      <c r="H184" s="331"/>
    </row>
    <row r="185" spans="1:11">
      <c r="A185" s="330"/>
      <c r="B185" s="354"/>
      <c r="C185" s="331"/>
      <c r="D185" s="355" t="s">
        <v>799</v>
      </c>
      <c r="E185" s="338"/>
      <c r="F185" s="338"/>
      <c r="G185" s="361"/>
      <c r="H185" s="331"/>
    </row>
    <row r="186" spans="1:11">
      <c r="A186" s="330"/>
      <c r="B186" s="354"/>
      <c r="C186" s="331"/>
      <c r="D186" s="355" t="s">
        <v>800</v>
      </c>
      <c r="E186" s="338"/>
      <c r="F186" s="338"/>
      <c r="G186" s="361"/>
      <c r="H186" s="331"/>
    </row>
    <row r="187" spans="1:11" ht="9.75" customHeight="1">
      <c r="A187" s="330"/>
      <c r="B187" s="368"/>
      <c r="C187" s="369"/>
      <c r="D187" s="370"/>
      <c r="E187" s="371"/>
      <c r="F187" s="371"/>
      <c r="G187" s="372"/>
      <c r="H187" s="331"/>
    </row>
    <row r="188" spans="1:11" ht="15.75" customHeight="1">
      <c r="A188" s="330"/>
      <c r="B188" s="736"/>
      <c r="C188" s="736"/>
      <c r="D188" s="736"/>
      <c r="E188" s="338"/>
      <c r="F188" s="338"/>
      <c r="G188" s="338"/>
      <c r="H188" s="345"/>
    </row>
    <row r="189" spans="1:11">
      <c r="A189" s="330"/>
      <c r="B189" s="736"/>
      <c r="C189" s="736"/>
      <c r="D189" s="736"/>
      <c r="E189" s="338"/>
      <c r="F189" s="338"/>
      <c r="G189" s="338"/>
    </row>
    <row r="190" spans="1:11">
      <c r="A190" s="328"/>
      <c r="B190" s="747"/>
      <c r="C190" s="747"/>
      <c r="D190" s="747"/>
      <c r="E190" s="747"/>
      <c r="F190" s="747"/>
      <c r="G190" s="747"/>
      <c r="H190" s="747"/>
    </row>
    <row r="191" spans="1:11">
      <c r="A191" s="329"/>
      <c r="B191" s="747"/>
      <c r="C191" s="747"/>
      <c r="D191" s="747"/>
      <c r="E191" s="747"/>
      <c r="F191" s="747"/>
      <c r="G191" s="747"/>
      <c r="H191" s="747"/>
    </row>
    <row r="192" spans="1:11" ht="10.5" customHeight="1">
      <c r="A192" s="330"/>
      <c r="B192" s="748"/>
      <c r="C192" s="749"/>
      <c r="D192" s="749"/>
      <c r="E192" s="749"/>
      <c r="F192" s="352"/>
      <c r="G192" s="353"/>
      <c r="H192" s="332"/>
    </row>
    <row r="193" spans="1:8">
      <c r="A193" s="330"/>
      <c r="B193" s="354"/>
      <c r="C193" s="331"/>
      <c r="D193" s="331"/>
      <c r="E193" s="331"/>
      <c r="F193" s="331"/>
      <c r="G193" s="355"/>
      <c r="H193" s="331"/>
    </row>
    <row r="194" spans="1:8">
      <c r="A194" s="330"/>
      <c r="B194" s="354"/>
      <c r="C194" s="331"/>
      <c r="D194" s="331"/>
      <c r="E194" s="331"/>
      <c r="F194" s="331"/>
      <c r="G194" s="355"/>
      <c r="H194" s="331"/>
    </row>
    <row r="195" spans="1:8">
      <c r="A195" s="330"/>
      <c r="B195" s="737"/>
      <c r="C195" s="738"/>
      <c r="D195" s="738"/>
      <c r="E195" s="738"/>
      <c r="F195" s="331"/>
      <c r="G195" s="355"/>
      <c r="H195" s="331"/>
    </row>
    <row r="196" spans="1:8">
      <c r="A196" s="330"/>
      <c r="B196" s="354"/>
      <c r="C196" s="331"/>
      <c r="D196" s="331"/>
      <c r="E196" s="331"/>
      <c r="F196" s="331"/>
      <c r="G196" s="355"/>
      <c r="H196" s="331"/>
    </row>
    <row r="197" spans="1:8">
      <c r="A197" s="330"/>
      <c r="B197" s="354"/>
      <c r="C197" s="331"/>
      <c r="D197" s="331"/>
      <c r="E197" s="331"/>
      <c r="F197" s="331"/>
      <c r="G197" s="355"/>
      <c r="H197" s="331"/>
    </row>
    <row r="198" spans="1:8">
      <c r="A198" s="330"/>
      <c r="B198" s="354"/>
      <c r="C198" s="331"/>
      <c r="D198" s="331"/>
      <c r="E198" s="331"/>
      <c r="F198" s="331"/>
      <c r="G198" s="355"/>
      <c r="H198" s="331"/>
    </row>
    <row r="199" spans="1:8" ht="30" customHeight="1">
      <c r="A199" s="330"/>
      <c r="B199" s="356"/>
      <c r="D199" s="751" t="s">
        <v>1540</v>
      </c>
      <c r="E199" s="751"/>
      <c r="F199" s="331"/>
      <c r="G199" s="355"/>
      <c r="H199" s="331"/>
    </row>
    <row r="200" spans="1:8">
      <c r="A200" s="330"/>
      <c r="B200" s="354"/>
      <c r="C200" s="331"/>
      <c r="D200" s="751"/>
      <c r="E200" s="751"/>
      <c r="F200" s="331"/>
      <c r="G200" s="355"/>
      <c r="H200" s="331"/>
    </row>
    <row r="201" spans="1:8">
      <c r="A201" s="330"/>
      <c r="B201" s="354"/>
      <c r="C201" s="331"/>
      <c r="D201" s="751"/>
      <c r="E201" s="751"/>
      <c r="F201" s="331"/>
      <c r="G201" s="355"/>
      <c r="H201" s="331"/>
    </row>
    <row r="202" spans="1:8" ht="26.25" customHeight="1">
      <c r="A202" s="330"/>
      <c r="B202" s="354"/>
      <c r="C202" s="331"/>
      <c r="D202" s="751"/>
      <c r="E202" s="751"/>
      <c r="F202" s="331"/>
      <c r="G202" s="355"/>
      <c r="H202" s="331"/>
    </row>
    <row r="203" spans="1:8">
      <c r="A203" s="330"/>
      <c r="B203" s="354"/>
      <c r="C203" s="331"/>
      <c r="D203" s="751"/>
      <c r="E203" s="751"/>
      <c r="F203" s="331"/>
      <c r="G203" s="355"/>
      <c r="H203" s="331"/>
    </row>
    <row r="204" spans="1:8" ht="27.75" customHeight="1">
      <c r="A204" s="330"/>
      <c r="B204" s="354"/>
      <c r="C204" s="331"/>
      <c r="D204" s="751"/>
      <c r="E204" s="751"/>
      <c r="F204" s="331"/>
      <c r="G204" s="355"/>
      <c r="H204" s="331"/>
    </row>
    <row r="205" spans="1:8" ht="7.5" customHeight="1">
      <c r="A205" s="330"/>
      <c r="B205" s="354"/>
      <c r="C205" s="331"/>
      <c r="D205" s="332"/>
      <c r="E205" s="332"/>
      <c r="F205" s="331"/>
      <c r="G205" s="355"/>
      <c r="H205" s="331"/>
    </row>
    <row r="206" spans="1:8">
      <c r="A206" s="330"/>
      <c r="B206" s="356"/>
      <c r="D206" s="331"/>
      <c r="E206" s="331"/>
      <c r="F206" s="331"/>
      <c r="G206" s="355"/>
      <c r="H206" s="331"/>
    </row>
    <row r="207" spans="1:8">
      <c r="A207" s="330"/>
      <c r="B207" s="354"/>
      <c r="C207" s="331"/>
      <c r="D207" s="332"/>
      <c r="E207" s="332"/>
      <c r="F207" s="331"/>
      <c r="G207" s="355"/>
      <c r="H207" s="331"/>
    </row>
    <row r="208" spans="1:8">
      <c r="A208" s="330"/>
      <c r="B208" s="354"/>
      <c r="C208" s="331"/>
      <c r="D208" s="331"/>
      <c r="E208" s="331"/>
      <c r="F208" s="331"/>
      <c r="G208" s="355"/>
      <c r="H208" s="333"/>
    </row>
    <row r="209" spans="1:8">
      <c r="A209" s="330"/>
      <c r="B209" s="354"/>
      <c r="C209" s="331"/>
      <c r="D209" s="331"/>
      <c r="E209" s="331"/>
      <c r="F209" s="331"/>
      <c r="G209" s="355"/>
      <c r="H209" s="333"/>
    </row>
    <row r="210" spans="1:8">
      <c r="A210" s="330"/>
      <c r="B210" s="354"/>
      <c r="C210" s="331"/>
      <c r="D210" s="331"/>
      <c r="E210" s="331"/>
      <c r="F210" s="331"/>
      <c r="G210" s="355"/>
      <c r="H210" s="333"/>
    </row>
    <row r="211" spans="1:8">
      <c r="A211" s="330"/>
      <c r="B211" s="354"/>
      <c r="C211" s="331"/>
      <c r="D211" s="331"/>
      <c r="E211" s="331"/>
      <c r="F211" s="331"/>
      <c r="G211" s="355"/>
      <c r="H211" s="333"/>
    </row>
    <row r="212" spans="1:8">
      <c r="A212" s="330"/>
      <c r="B212" s="356"/>
      <c r="G212" s="357"/>
      <c r="H212" s="333"/>
    </row>
    <row r="213" spans="1:8" ht="15.75" customHeight="1">
      <c r="A213" s="337"/>
      <c r="B213" s="752"/>
      <c r="C213" s="753"/>
      <c r="D213" s="753"/>
      <c r="E213" s="753"/>
      <c r="F213" s="358"/>
      <c r="G213" s="359"/>
      <c r="H213" s="360"/>
    </row>
    <row r="214" spans="1:8">
      <c r="A214" s="330"/>
      <c r="B214" s="356"/>
      <c r="G214" s="357"/>
    </row>
    <row r="215" spans="1:8">
      <c r="A215" s="330"/>
      <c r="B215" s="354"/>
      <c r="C215" s="331"/>
      <c r="D215" s="331"/>
      <c r="E215" s="338"/>
      <c r="F215" s="338"/>
      <c r="G215" s="361"/>
      <c r="H215" s="339"/>
    </row>
    <row r="216" spans="1:8" ht="15.75" customHeight="1">
      <c r="A216" s="330"/>
      <c r="B216" s="730"/>
      <c r="C216" s="731"/>
      <c r="D216" s="731"/>
      <c r="E216" s="731"/>
      <c r="F216" s="343"/>
      <c r="G216" s="362"/>
      <c r="H216" s="743"/>
    </row>
    <row r="217" spans="1:8">
      <c r="A217" s="330"/>
      <c r="B217" s="730"/>
      <c r="C217" s="731"/>
      <c r="D217" s="731"/>
      <c r="E217" s="731"/>
      <c r="F217" s="343"/>
      <c r="G217" s="362"/>
      <c r="H217" s="743"/>
    </row>
    <row r="218" spans="1:8">
      <c r="A218" s="330"/>
      <c r="B218" s="363"/>
      <c r="C218" s="343"/>
      <c r="D218" s="343"/>
      <c r="E218" s="343"/>
      <c r="F218" s="343"/>
      <c r="G218" s="362"/>
      <c r="H218" s="344"/>
    </row>
    <row r="219" spans="1:8">
      <c r="A219" s="330"/>
      <c r="B219" s="364"/>
      <c r="C219" s="332"/>
      <c r="D219" s="332"/>
      <c r="E219" s="332"/>
      <c r="F219" s="332"/>
      <c r="G219" s="365"/>
      <c r="H219" s="332"/>
    </row>
    <row r="220" spans="1:8">
      <c r="A220" s="330"/>
      <c r="B220" s="737"/>
      <c r="C220" s="738"/>
      <c r="D220" s="738"/>
      <c r="E220" s="738"/>
      <c r="F220" s="331"/>
      <c r="G220" s="355"/>
      <c r="H220" s="345"/>
    </row>
    <row r="221" spans="1:8" ht="15.75" hidden="1" customHeight="1">
      <c r="A221" s="330"/>
      <c r="B221" s="737" t="s">
        <v>774</v>
      </c>
      <c r="C221" s="738"/>
      <c r="D221" s="738"/>
      <c r="E221" s="738"/>
      <c r="F221" s="331"/>
      <c r="G221" s="355"/>
      <c r="H221" s="345" t="s">
        <v>770</v>
      </c>
    </row>
    <row r="222" spans="1:8" hidden="1">
      <c r="A222" s="330"/>
      <c r="B222" s="354" t="s">
        <v>775</v>
      </c>
      <c r="C222" s="331"/>
      <c r="D222" s="331"/>
      <c r="E222" s="331"/>
      <c r="F222" s="331"/>
      <c r="G222" s="355"/>
      <c r="H222" s="345" t="s">
        <v>770</v>
      </c>
    </row>
    <row r="223" spans="1:8">
      <c r="A223" s="330"/>
      <c r="B223" s="737"/>
      <c r="C223" s="738"/>
      <c r="D223" s="738"/>
      <c r="E223" s="738"/>
      <c r="F223" s="331"/>
      <c r="G223" s="355"/>
      <c r="H223" s="345"/>
    </row>
    <row r="224" spans="1:8" ht="27.75">
      <c r="A224" s="330"/>
      <c r="B224" s="373"/>
      <c r="C224" s="341"/>
      <c r="D224" s="739" t="s">
        <v>762</v>
      </c>
      <c r="E224" s="739"/>
      <c r="F224" s="330"/>
      <c r="G224" s="366"/>
      <c r="H224" s="339"/>
    </row>
    <row r="225" spans="1:11">
      <c r="A225" s="330"/>
      <c r="B225" s="356"/>
      <c r="G225" s="357"/>
    </row>
    <row r="226" spans="1:11">
      <c r="A226" s="330"/>
      <c r="B226" s="373"/>
      <c r="C226" s="341"/>
      <c r="D226" s="733"/>
      <c r="E226" s="733"/>
      <c r="F226" s="332"/>
      <c r="G226" s="365"/>
      <c r="H226" s="339"/>
    </row>
    <row r="227" spans="1:11">
      <c r="A227" s="330"/>
      <c r="B227" s="356"/>
      <c r="D227" s="733" t="s">
        <v>801</v>
      </c>
      <c r="E227" s="733"/>
      <c r="G227" s="357"/>
    </row>
    <row r="228" spans="1:11" ht="15.75" customHeight="1">
      <c r="A228" s="330"/>
      <c r="B228" s="730"/>
      <c r="C228" s="731"/>
      <c r="D228" s="731"/>
      <c r="E228" s="338"/>
      <c r="F228" s="338"/>
      <c r="G228" s="361"/>
      <c r="H228" s="331"/>
    </row>
    <row r="229" spans="1:11">
      <c r="A229" s="330"/>
      <c r="B229" s="730"/>
      <c r="C229" s="731"/>
      <c r="D229" s="731"/>
      <c r="E229" s="338"/>
      <c r="F229" s="338"/>
      <c r="G229" s="361"/>
      <c r="H229" s="331"/>
    </row>
    <row r="230" spans="1:11" ht="36" customHeight="1">
      <c r="A230" s="330"/>
      <c r="B230" s="356"/>
      <c r="D230" s="732" t="s">
        <v>806</v>
      </c>
      <c r="E230" s="732"/>
      <c r="F230" s="338"/>
      <c r="G230" s="361"/>
    </row>
    <row r="231" spans="1:11">
      <c r="A231" s="330"/>
      <c r="B231" s="354"/>
      <c r="C231" s="331"/>
      <c r="D231" s="331"/>
      <c r="E231" s="338"/>
      <c r="F231" s="338"/>
      <c r="G231" s="361"/>
      <c r="H231" s="331"/>
    </row>
    <row r="232" spans="1:11">
      <c r="A232" s="330"/>
      <c r="B232" s="354"/>
      <c r="C232" s="331"/>
      <c r="D232" s="733" t="s">
        <v>802</v>
      </c>
      <c r="E232" s="733"/>
      <c r="F232" s="338"/>
      <c r="G232" s="361"/>
      <c r="H232" s="331"/>
    </row>
    <row r="233" spans="1:11">
      <c r="A233" s="330"/>
      <c r="B233" s="354"/>
      <c r="C233" s="331"/>
      <c r="D233" s="734" t="s">
        <v>807</v>
      </c>
      <c r="E233" s="734"/>
      <c r="F233" s="338"/>
      <c r="G233" s="361"/>
      <c r="H233" s="331"/>
    </row>
    <row r="234" spans="1:11" ht="15.75" customHeight="1">
      <c r="A234" s="330"/>
      <c r="B234" s="735"/>
      <c r="C234" s="736"/>
      <c r="D234" s="736"/>
      <c r="E234" s="338"/>
      <c r="F234" s="338"/>
      <c r="G234" s="361"/>
    </row>
    <row r="235" spans="1:11">
      <c r="A235" s="330"/>
      <c r="B235" s="735"/>
      <c r="C235" s="736"/>
      <c r="D235" s="736"/>
      <c r="E235" s="338"/>
      <c r="F235" s="338"/>
      <c r="G235" s="361"/>
    </row>
    <row r="236" spans="1:11">
      <c r="A236" s="330"/>
      <c r="B236" s="354"/>
      <c r="C236" s="331"/>
      <c r="E236" s="338"/>
      <c r="F236" s="338"/>
      <c r="G236" s="361"/>
    </row>
    <row r="237" spans="1:11">
      <c r="A237" s="330"/>
      <c r="B237" s="737"/>
      <c r="C237" s="738"/>
      <c r="D237" s="738"/>
      <c r="E237" s="338"/>
      <c r="F237" s="338"/>
      <c r="G237" s="361"/>
      <c r="H237" s="331"/>
    </row>
    <row r="238" spans="1:11">
      <c r="A238" s="330"/>
      <c r="B238" s="356"/>
      <c r="E238" s="338"/>
      <c r="F238" s="338"/>
      <c r="G238" s="361"/>
    </row>
    <row r="239" spans="1:11">
      <c r="A239" s="330"/>
      <c r="B239" s="356"/>
      <c r="E239" s="338"/>
      <c r="F239" s="338"/>
      <c r="G239" s="361"/>
      <c r="K239" t="s">
        <v>795</v>
      </c>
    </row>
    <row r="240" spans="1:11">
      <c r="A240" s="330"/>
      <c r="B240" s="356"/>
      <c r="E240" s="338"/>
      <c r="F240" s="338"/>
      <c r="G240" s="361"/>
      <c r="H240" s="350"/>
      <c r="K240" t="s">
        <v>796</v>
      </c>
    </row>
    <row r="241" spans="1:11">
      <c r="A241" s="330"/>
      <c r="B241" s="356"/>
      <c r="E241" s="338"/>
      <c r="F241" s="338"/>
      <c r="G241" s="361"/>
    </row>
    <row r="242" spans="1:11">
      <c r="A242" s="330"/>
      <c r="B242" s="744"/>
      <c r="C242" s="745"/>
      <c r="D242" s="746"/>
      <c r="E242" s="338"/>
      <c r="F242" s="338"/>
      <c r="G242" s="361"/>
      <c r="H242" s="331"/>
    </row>
    <row r="243" spans="1:11" ht="15.75" customHeight="1">
      <c r="A243" s="330"/>
      <c r="B243" s="356"/>
      <c r="D243" s="357"/>
      <c r="E243" s="338"/>
      <c r="F243" s="338"/>
      <c r="G243" s="361"/>
    </row>
    <row r="244" spans="1:11">
      <c r="A244" s="330"/>
      <c r="B244" s="356"/>
      <c r="D244" s="367" t="s">
        <v>797</v>
      </c>
      <c r="E244" s="338"/>
      <c r="F244" s="338"/>
      <c r="G244" s="361"/>
    </row>
    <row r="245" spans="1:11">
      <c r="A245" s="330"/>
      <c r="B245" s="356"/>
      <c r="D245" s="357" t="s">
        <v>798</v>
      </c>
      <c r="E245" s="338"/>
      <c r="F245" s="338"/>
      <c r="G245" s="361"/>
      <c r="H245" s="351"/>
    </row>
    <row r="246" spans="1:11">
      <c r="A246" s="330"/>
      <c r="B246" s="354"/>
      <c r="C246" s="331"/>
      <c r="D246" s="355" t="s">
        <v>799</v>
      </c>
      <c r="E246" s="338"/>
      <c r="F246" s="338"/>
      <c r="G246" s="361"/>
      <c r="H246" s="331"/>
    </row>
    <row r="247" spans="1:11">
      <c r="A247" s="330"/>
      <c r="B247" s="354"/>
      <c r="C247" s="331"/>
      <c r="D247" s="355" t="s">
        <v>800</v>
      </c>
      <c r="E247" s="338"/>
      <c r="F247" s="338"/>
      <c r="G247" s="361"/>
      <c r="H247" s="331"/>
    </row>
    <row r="248" spans="1:11">
      <c r="A248" s="330"/>
      <c r="B248" s="354"/>
      <c r="C248" s="331"/>
      <c r="D248" s="355"/>
      <c r="E248" s="338"/>
      <c r="F248" s="338"/>
      <c r="G248" s="361"/>
      <c r="H248" s="331"/>
      <c r="K248">
        <v>23873</v>
      </c>
    </row>
    <row r="249" spans="1:11">
      <c r="A249" s="330"/>
      <c r="B249" s="354"/>
      <c r="C249" s="331"/>
      <c r="D249" s="355"/>
      <c r="E249" s="338"/>
      <c r="F249" s="338"/>
      <c r="G249" s="361"/>
      <c r="H249" s="331"/>
      <c r="K249">
        <v>17953</v>
      </c>
    </row>
    <row r="250" spans="1:11" ht="9.75" customHeight="1">
      <c r="A250" s="330"/>
      <c r="B250" s="368"/>
      <c r="C250" s="369"/>
      <c r="D250" s="370"/>
      <c r="E250" s="371"/>
      <c r="F250" s="371"/>
      <c r="G250" s="372"/>
      <c r="H250" s="331"/>
      <c r="K250">
        <v>32745</v>
      </c>
    </row>
    <row r="251" spans="1:11" ht="15.75" customHeight="1">
      <c r="A251" s="330"/>
      <c r="B251" s="736"/>
      <c r="C251" s="736"/>
      <c r="D251" s="736"/>
      <c r="E251" s="338"/>
      <c r="F251" s="338"/>
      <c r="G251" s="338"/>
      <c r="H251" s="345"/>
      <c r="K251">
        <v>32559</v>
      </c>
    </row>
    <row r="252" spans="1:11">
      <c r="A252" s="330"/>
      <c r="B252" s="736"/>
      <c r="C252" s="736"/>
      <c r="D252" s="736"/>
      <c r="E252" s="338"/>
      <c r="F252" s="338"/>
      <c r="G252" s="338"/>
      <c r="K252">
        <v>11073</v>
      </c>
    </row>
    <row r="253" spans="1:11">
      <c r="A253" s="328"/>
      <c r="B253" s="747"/>
      <c r="C253" s="747"/>
      <c r="D253" s="747"/>
      <c r="E253" s="747"/>
      <c r="F253" s="747"/>
      <c r="G253" s="747"/>
      <c r="H253" s="747"/>
      <c r="K253">
        <v>22627</v>
      </c>
    </row>
    <row r="254" spans="1:11">
      <c r="A254" s="329"/>
      <c r="B254" s="747"/>
      <c r="C254" s="747"/>
      <c r="D254" s="747"/>
      <c r="E254" s="747"/>
      <c r="F254" s="747"/>
      <c r="G254" s="747"/>
      <c r="H254" s="747"/>
      <c r="K254">
        <v>21433</v>
      </c>
    </row>
    <row r="255" spans="1:11" ht="10.5" customHeight="1">
      <c r="A255" s="330"/>
      <c r="B255" s="748"/>
      <c r="C255" s="749"/>
      <c r="D255" s="749"/>
      <c r="E255" s="749"/>
      <c r="F255" s="352"/>
      <c r="G255" s="353"/>
      <c r="H255" s="332"/>
    </row>
    <row r="256" spans="1:11">
      <c r="A256" s="330"/>
      <c r="B256" s="354"/>
      <c r="C256" s="331"/>
      <c r="D256" s="331"/>
      <c r="E256" s="331"/>
      <c r="F256" s="331"/>
      <c r="G256" s="355"/>
      <c r="H256" s="331"/>
    </row>
    <row r="257" spans="1:11">
      <c r="A257" s="330"/>
      <c r="B257" s="354"/>
      <c r="C257" s="331"/>
      <c r="D257" s="331"/>
      <c r="E257" s="331"/>
      <c r="F257" s="331"/>
      <c r="G257" s="355"/>
      <c r="H257" s="331"/>
      <c r="K257">
        <f>SUM(K248:K256)</f>
        <v>162263</v>
      </c>
    </row>
    <row r="258" spans="1:11">
      <c r="A258" s="330"/>
      <c r="B258" s="737"/>
      <c r="C258" s="738"/>
      <c r="D258" s="738"/>
      <c r="E258" s="738"/>
      <c r="F258" s="331"/>
      <c r="G258" s="355"/>
      <c r="H258" s="331"/>
    </row>
    <row r="259" spans="1:11">
      <c r="A259" s="330"/>
      <c r="B259" s="354"/>
      <c r="C259" s="331"/>
      <c r="D259" s="331"/>
      <c r="E259" s="331"/>
      <c r="F259" s="331"/>
      <c r="G259" s="355"/>
      <c r="H259" s="331"/>
    </row>
    <row r="260" spans="1:11">
      <c r="A260" s="330"/>
      <c r="B260" s="354"/>
      <c r="C260" s="331"/>
      <c r="D260" s="331"/>
      <c r="E260" s="331"/>
      <c r="F260" s="331"/>
      <c r="G260" s="355"/>
      <c r="H260" s="331"/>
    </row>
    <row r="261" spans="1:11">
      <c r="A261" s="330"/>
      <c r="B261" s="354"/>
      <c r="C261" s="331"/>
      <c r="D261" s="331"/>
      <c r="E261" s="331"/>
      <c r="F261" s="331"/>
      <c r="G261" s="355"/>
      <c r="H261" s="331"/>
    </row>
    <row r="262" spans="1:11" ht="30" customHeight="1">
      <c r="A262" s="330"/>
      <c r="B262" s="356"/>
      <c r="D262" s="750"/>
      <c r="E262" s="750"/>
      <c r="F262" s="331"/>
      <c r="G262" s="355"/>
      <c r="H262" s="331"/>
    </row>
    <row r="263" spans="1:11">
      <c r="A263" s="330"/>
      <c r="B263" s="354"/>
      <c r="C263" s="331"/>
      <c r="D263" s="750"/>
      <c r="E263" s="750"/>
      <c r="F263" s="331"/>
      <c r="G263" s="355"/>
      <c r="H263" s="331"/>
    </row>
    <row r="264" spans="1:11">
      <c r="A264" s="330"/>
      <c r="B264" s="354"/>
      <c r="C264" s="331"/>
      <c r="D264" s="750"/>
      <c r="E264" s="750"/>
      <c r="F264" s="331"/>
      <c r="G264" s="355"/>
      <c r="H264" s="331"/>
    </row>
    <row r="265" spans="1:11" ht="26.25" customHeight="1">
      <c r="A265" s="330"/>
      <c r="B265" s="354"/>
      <c r="C265" s="331"/>
      <c r="D265" s="750"/>
      <c r="E265" s="750"/>
      <c r="F265" s="331"/>
      <c r="G265" s="355"/>
      <c r="H265" s="331"/>
    </row>
    <row r="266" spans="1:11">
      <c r="A266" s="330"/>
      <c r="B266" s="354"/>
      <c r="C266" s="331"/>
      <c r="D266" s="750"/>
      <c r="E266" s="750"/>
      <c r="F266" s="331"/>
      <c r="G266" s="355"/>
      <c r="H266" s="331"/>
    </row>
    <row r="267" spans="1:11" ht="27.75" customHeight="1">
      <c r="A267" s="330"/>
      <c r="B267" s="354"/>
      <c r="C267" s="331"/>
      <c r="D267" s="750"/>
      <c r="E267" s="750"/>
      <c r="F267" s="331"/>
      <c r="G267" s="355"/>
      <c r="H267" s="331"/>
    </row>
    <row r="268" spans="1:11" ht="7.5" customHeight="1">
      <c r="A268" s="330"/>
      <c r="B268" s="354"/>
      <c r="C268" s="331"/>
      <c r="D268" s="332"/>
      <c r="E268" s="332"/>
      <c r="F268" s="331"/>
      <c r="G268" s="355"/>
      <c r="H268" s="331"/>
    </row>
    <row r="269" spans="1:11">
      <c r="A269" s="330"/>
      <c r="B269" s="356"/>
      <c r="D269" s="331"/>
      <c r="E269" s="331"/>
      <c r="F269" s="331"/>
      <c r="G269" s="355"/>
      <c r="H269" s="331"/>
    </row>
    <row r="270" spans="1:11">
      <c r="A270" s="330"/>
      <c r="B270" s="354"/>
      <c r="C270" s="331"/>
      <c r="D270" s="332"/>
      <c r="E270" s="332"/>
      <c r="F270" s="331"/>
      <c r="G270" s="355"/>
      <c r="H270" s="331"/>
    </row>
    <row r="271" spans="1:11">
      <c r="A271" s="330"/>
      <c r="B271" s="354"/>
      <c r="C271" s="331"/>
      <c r="D271" s="331"/>
      <c r="E271" s="331"/>
      <c r="F271" s="331"/>
      <c r="G271" s="355"/>
      <c r="H271" s="333"/>
    </row>
    <row r="272" spans="1:11">
      <c r="A272" s="330"/>
      <c r="B272" s="354"/>
      <c r="C272" s="331"/>
      <c r="D272" s="331"/>
      <c r="E272" s="331"/>
      <c r="F272" s="331"/>
      <c r="G272" s="355"/>
      <c r="H272" s="333"/>
    </row>
    <row r="273" spans="1:8">
      <c r="A273" s="330"/>
      <c r="B273" s="354"/>
      <c r="C273" s="331"/>
      <c r="D273" s="331"/>
      <c r="E273" s="331"/>
      <c r="F273" s="331"/>
      <c r="G273" s="355"/>
      <c r="H273" s="333"/>
    </row>
    <row r="274" spans="1:8">
      <c r="A274" s="330"/>
      <c r="B274" s="354"/>
      <c r="C274" s="331"/>
      <c r="D274" s="331"/>
      <c r="E274" s="331"/>
      <c r="F274" s="331"/>
      <c r="G274" s="355"/>
      <c r="H274" s="333"/>
    </row>
    <row r="275" spans="1:8">
      <c r="A275" s="330"/>
      <c r="B275" s="356"/>
      <c r="G275" s="357"/>
      <c r="H275" s="333"/>
    </row>
    <row r="276" spans="1:8" ht="15.75" customHeight="1">
      <c r="A276" s="337"/>
      <c r="B276" s="354"/>
      <c r="C276" s="733" t="s">
        <v>1537</v>
      </c>
      <c r="D276" s="733"/>
      <c r="E276" s="733"/>
      <c r="F276" s="733"/>
      <c r="G276" s="361"/>
      <c r="H276" s="360"/>
    </row>
    <row r="277" spans="1:8">
      <c r="A277" s="330"/>
      <c r="B277" s="740" t="s">
        <v>1539</v>
      </c>
      <c r="C277" s="741"/>
      <c r="D277" s="741"/>
      <c r="E277" s="741"/>
      <c r="F277" s="741"/>
      <c r="G277" s="742"/>
    </row>
    <row r="278" spans="1:8">
      <c r="A278" s="330"/>
      <c r="B278" s="740"/>
      <c r="C278" s="741"/>
      <c r="D278" s="741"/>
      <c r="E278" s="741"/>
      <c r="F278" s="741"/>
      <c r="G278" s="742"/>
      <c r="H278" s="339"/>
    </row>
    <row r="279" spans="1:8" ht="15.75" customHeight="1">
      <c r="A279" s="330"/>
      <c r="B279" s="730"/>
      <c r="C279" s="731"/>
      <c r="D279" s="731"/>
      <c r="E279" s="731"/>
      <c r="F279" s="343"/>
      <c r="G279" s="362"/>
      <c r="H279" s="743"/>
    </row>
    <row r="280" spans="1:8">
      <c r="A280" s="330"/>
      <c r="B280" s="730"/>
      <c r="C280" s="731"/>
      <c r="D280" s="731"/>
      <c r="E280" s="731"/>
      <c r="F280" s="343"/>
      <c r="G280" s="362"/>
      <c r="H280" s="743"/>
    </row>
    <row r="281" spans="1:8">
      <c r="A281" s="330"/>
      <c r="B281" s="363"/>
      <c r="C281" s="343"/>
      <c r="D281" s="343"/>
      <c r="E281" s="343"/>
      <c r="F281" s="343"/>
      <c r="G281" s="362"/>
      <c r="H281" s="344"/>
    </row>
    <row r="282" spans="1:8">
      <c r="A282" s="330"/>
      <c r="B282" s="364"/>
      <c r="C282" s="332"/>
      <c r="D282" s="332"/>
      <c r="E282" s="332"/>
      <c r="F282" s="332"/>
      <c r="G282" s="365"/>
      <c r="H282" s="332"/>
    </row>
    <row r="283" spans="1:8">
      <c r="A283" s="330"/>
      <c r="B283" s="737"/>
      <c r="C283" s="738"/>
      <c r="D283" s="738"/>
      <c r="E283" s="738"/>
      <c r="F283" s="331"/>
      <c r="G283" s="355"/>
      <c r="H283" s="345"/>
    </row>
    <row r="284" spans="1:8" ht="15.75" hidden="1" customHeight="1">
      <c r="A284" s="330"/>
      <c r="B284" s="737" t="s">
        <v>774</v>
      </c>
      <c r="C284" s="738"/>
      <c r="D284" s="738"/>
      <c r="E284" s="738"/>
      <c r="F284" s="331"/>
      <c r="G284" s="355"/>
      <c r="H284" s="345" t="s">
        <v>770</v>
      </c>
    </row>
    <row r="285" spans="1:8" hidden="1">
      <c r="A285" s="330"/>
      <c r="B285" s="354" t="s">
        <v>775</v>
      </c>
      <c r="C285" s="331"/>
      <c r="D285" s="331"/>
      <c r="E285" s="331"/>
      <c r="F285" s="331"/>
      <c r="G285" s="355"/>
      <c r="H285" s="345" t="s">
        <v>770</v>
      </c>
    </row>
    <row r="286" spans="1:8">
      <c r="A286" s="330"/>
      <c r="B286" s="737"/>
      <c r="C286" s="738"/>
      <c r="D286" s="738"/>
      <c r="E286" s="738"/>
      <c r="F286" s="331"/>
      <c r="G286" s="355"/>
      <c r="H286" s="345"/>
    </row>
    <row r="287" spans="1:8" ht="27.75">
      <c r="A287" s="330"/>
      <c r="B287" s="373"/>
      <c r="C287" s="341"/>
      <c r="D287" s="739"/>
      <c r="E287" s="739"/>
      <c r="F287" s="330"/>
      <c r="G287" s="366"/>
      <c r="H287" s="339"/>
    </row>
    <row r="288" spans="1:8">
      <c r="A288" s="330"/>
      <c r="B288" s="356"/>
      <c r="G288" s="357"/>
    </row>
    <row r="289" spans="1:11">
      <c r="A289" s="330"/>
      <c r="B289" s="373"/>
      <c r="C289" s="341"/>
      <c r="D289" s="733"/>
      <c r="E289" s="733"/>
      <c r="F289" s="332"/>
      <c r="G289" s="365"/>
      <c r="H289" s="339"/>
    </row>
    <row r="290" spans="1:11">
      <c r="A290" s="330"/>
      <c r="B290" s="356"/>
      <c r="D290" s="733"/>
      <c r="E290" s="733"/>
      <c r="G290" s="357"/>
    </row>
    <row r="291" spans="1:11" ht="15.75" customHeight="1">
      <c r="A291" s="330"/>
      <c r="B291" s="730"/>
      <c r="C291" s="731"/>
      <c r="D291" s="731"/>
      <c r="E291" s="338"/>
      <c r="F291" s="338"/>
      <c r="G291" s="361"/>
      <c r="H291" s="331"/>
    </row>
    <row r="292" spans="1:11">
      <c r="A292" s="330"/>
      <c r="B292" s="730"/>
      <c r="C292" s="731"/>
      <c r="D292" s="731"/>
      <c r="E292" s="338"/>
      <c r="F292" s="338"/>
      <c r="G292" s="361"/>
      <c r="H292" s="331"/>
    </row>
    <row r="293" spans="1:11" ht="36" customHeight="1">
      <c r="A293" s="330"/>
      <c r="B293" s="356"/>
      <c r="D293" s="732"/>
      <c r="E293" s="732"/>
      <c r="F293" s="338"/>
      <c r="G293" s="361"/>
    </row>
    <row r="294" spans="1:11">
      <c r="A294" s="330"/>
      <c r="B294" s="354"/>
      <c r="C294" s="331"/>
      <c r="D294" s="331"/>
      <c r="E294" s="338"/>
      <c r="F294" s="338"/>
      <c r="G294" s="361"/>
      <c r="H294" s="331"/>
    </row>
    <row r="295" spans="1:11">
      <c r="A295" s="330"/>
      <c r="B295" s="354"/>
      <c r="C295" s="331"/>
      <c r="D295" s="733"/>
      <c r="E295" s="733"/>
      <c r="F295" s="338"/>
      <c r="G295" s="361"/>
      <c r="H295" s="331"/>
    </row>
    <row r="296" spans="1:11">
      <c r="A296" s="330"/>
      <c r="B296" s="354"/>
      <c r="C296" s="331"/>
      <c r="D296" s="734"/>
      <c r="E296" s="734"/>
      <c r="F296" s="338"/>
      <c r="G296" s="361"/>
      <c r="H296" s="331"/>
    </row>
    <row r="297" spans="1:11" ht="15.75" customHeight="1">
      <c r="A297" s="330"/>
      <c r="B297" s="735"/>
      <c r="C297" s="736"/>
      <c r="D297" s="736"/>
      <c r="E297" s="338"/>
      <c r="F297" s="338"/>
      <c r="G297" s="361"/>
    </row>
    <row r="298" spans="1:11">
      <c r="A298" s="330"/>
      <c r="B298" s="735"/>
      <c r="C298" s="736"/>
      <c r="D298" s="736"/>
      <c r="E298" s="338"/>
      <c r="F298" s="338"/>
      <c r="G298" s="361"/>
    </row>
    <row r="299" spans="1:11">
      <c r="A299" s="330"/>
      <c r="B299" s="354"/>
      <c r="C299" s="331"/>
      <c r="E299" s="338"/>
      <c r="F299" s="338"/>
      <c r="G299" s="361"/>
    </row>
    <row r="300" spans="1:11">
      <c r="A300" s="330"/>
      <c r="B300" s="737"/>
      <c r="C300" s="738"/>
      <c r="D300" s="738"/>
      <c r="E300" s="338"/>
      <c r="F300" s="338"/>
      <c r="G300" s="361"/>
      <c r="H300" s="331"/>
    </row>
    <row r="301" spans="1:11">
      <c r="A301" s="330"/>
      <c r="B301" s="356"/>
      <c r="E301" s="338"/>
      <c r="F301" s="338"/>
      <c r="G301" s="361"/>
    </row>
    <row r="302" spans="1:11">
      <c r="A302" s="330"/>
      <c r="B302" s="356"/>
      <c r="E302" s="338"/>
      <c r="F302" s="338"/>
      <c r="G302" s="361"/>
      <c r="K302" t="s">
        <v>795</v>
      </c>
    </row>
    <row r="303" spans="1:11">
      <c r="A303" s="330"/>
      <c r="B303" s="356"/>
      <c r="E303" s="338"/>
      <c r="F303" s="338"/>
      <c r="G303" s="361"/>
      <c r="H303" s="350"/>
      <c r="K303" t="s">
        <v>796</v>
      </c>
    </row>
    <row r="304" spans="1:11">
      <c r="A304" s="330"/>
      <c r="B304" s="356"/>
      <c r="E304" s="338"/>
      <c r="F304" s="338"/>
      <c r="G304" s="361"/>
    </row>
    <row r="305" spans="1:8">
      <c r="A305" s="330"/>
      <c r="B305" s="354"/>
      <c r="C305" s="733" t="s">
        <v>1538</v>
      </c>
      <c r="D305" s="733"/>
      <c r="E305" s="733"/>
      <c r="F305" s="733"/>
      <c r="G305" s="361"/>
      <c r="H305" s="331"/>
    </row>
    <row r="306" spans="1:8">
      <c r="A306" s="330"/>
      <c r="B306" s="740" t="s">
        <v>1539</v>
      </c>
      <c r="C306" s="741"/>
      <c r="D306" s="741"/>
      <c r="E306" s="741"/>
      <c r="F306" s="741"/>
      <c r="G306" s="742"/>
    </row>
    <row r="307" spans="1:8">
      <c r="A307" s="330"/>
      <c r="B307" s="740"/>
      <c r="C307" s="741"/>
      <c r="D307" s="741"/>
      <c r="E307" s="741"/>
      <c r="F307" s="741"/>
      <c r="G307" s="742"/>
    </row>
    <row r="308" spans="1:8">
      <c r="A308" s="330"/>
      <c r="B308" s="518"/>
      <c r="C308" s="519"/>
      <c r="D308" s="520"/>
      <c r="E308" s="338"/>
      <c r="F308" s="338"/>
      <c r="G308" s="361"/>
      <c r="H308" s="351"/>
    </row>
    <row r="309" spans="1:8">
      <c r="A309" s="330"/>
      <c r="B309" s="354"/>
      <c r="C309" s="331"/>
      <c r="D309" s="367" t="s">
        <v>797</v>
      </c>
      <c r="E309" s="338"/>
      <c r="F309" s="338"/>
      <c r="G309" s="361"/>
      <c r="H309" s="331"/>
    </row>
    <row r="310" spans="1:8">
      <c r="A310" s="330"/>
      <c r="B310" s="354"/>
      <c r="C310" s="331"/>
      <c r="D310" s="357" t="s">
        <v>798</v>
      </c>
      <c r="E310" s="338"/>
      <c r="F310" s="338"/>
      <c r="G310" s="361"/>
      <c r="H310" s="331"/>
    </row>
    <row r="311" spans="1:8">
      <c r="A311" s="330"/>
      <c r="B311" s="354"/>
      <c r="C311" s="331"/>
      <c r="D311" s="355" t="s">
        <v>799</v>
      </c>
      <c r="E311" s="338"/>
      <c r="F311" s="338"/>
      <c r="G311" s="361"/>
      <c r="H311" s="331"/>
    </row>
    <row r="312" spans="1:8">
      <c r="A312" s="330"/>
      <c r="B312" s="354"/>
      <c r="C312" s="331"/>
      <c r="D312" s="355" t="s">
        <v>800</v>
      </c>
      <c r="E312" s="338"/>
      <c r="F312" s="338"/>
      <c r="G312" s="361"/>
      <c r="H312" s="331"/>
    </row>
    <row r="313" spans="1:8" ht="9.75" customHeight="1">
      <c r="A313" s="330"/>
      <c r="B313" s="368"/>
      <c r="C313" s="369"/>
      <c r="D313" s="370"/>
      <c r="E313" s="371"/>
      <c r="F313" s="371"/>
      <c r="G313" s="372"/>
      <c r="H313" s="331"/>
    </row>
    <row r="314" spans="1:8" ht="15.75" customHeight="1">
      <c r="A314" s="330"/>
      <c r="B314" s="736"/>
      <c r="C314" s="736"/>
      <c r="D314" s="736"/>
      <c r="E314" s="338"/>
      <c r="F314" s="338"/>
      <c r="G314" s="338"/>
      <c r="H314" s="345"/>
    </row>
    <row r="315" spans="1:8">
      <c r="A315" s="330"/>
      <c r="B315" s="736"/>
      <c r="C315" s="736"/>
      <c r="D315" s="736"/>
      <c r="E315" s="338"/>
      <c r="F315" s="338"/>
      <c r="G315" s="338"/>
    </row>
  </sheetData>
  <mergeCells count="103">
    <mergeCell ref="B24:E24"/>
    <mergeCell ref="B27:E28"/>
    <mergeCell ref="H27:H28"/>
    <mergeCell ref="B31:E31"/>
    <mergeCell ref="B32:E32"/>
    <mergeCell ref="B34:E34"/>
    <mergeCell ref="B66:E66"/>
    <mergeCell ref="B69:E69"/>
    <mergeCell ref="B1:H2"/>
    <mergeCell ref="B3:E3"/>
    <mergeCell ref="B6:E6"/>
    <mergeCell ref="D10:E15"/>
    <mergeCell ref="D35:E35"/>
    <mergeCell ref="D37:E37"/>
    <mergeCell ref="D38:E38"/>
    <mergeCell ref="B39:D40"/>
    <mergeCell ref="D41:E41"/>
    <mergeCell ref="D44:E44"/>
    <mergeCell ref="B45:D46"/>
    <mergeCell ref="B48:D48"/>
    <mergeCell ref="B53:D53"/>
    <mergeCell ref="B62:D63"/>
    <mergeCell ref="B64:H65"/>
    <mergeCell ref="C89:F89"/>
    <mergeCell ref="D43:E43"/>
    <mergeCell ref="B94:E94"/>
    <mergeCell ref="B95:E95"/>
    <mergeCell ref="B97:E97"/>
    <mergeCell ref="D98:E98"/>
    <mergeCell ref="D100:E100"/>
    <mergeCell ref="D101:E101"/>
    <mergeCell ref="D73:E78"/>
    <mergeCell ref="B87:E87"/>
    <mergeCell ref="D169:E169"/>
    <mergeCell ref="B150:E150"/>
    <mergeCell ref="H153:H154"/>
    <mergeCell ref="C152:F152"/>
    <mergeCell ref="B153:G154"/>
    <mergeCell ref="H90:H91"/>
    <mergeCell ref="B125:D126"/>
    <mergeCell ref="B127:H128"/>
    <mergeCell ref="B129:E129"/>
    <mergeCell ref="B132:E132"/>
    <mergeCell ref="D136:E141"/>
    <mergeCell ref="B102:D103"/>
    <mergeCell ref="D104:E104"/>
    <mergeCell ref="D106:E106"/>
    <mergeCell ref="D107:E107"/>
    <mergeCell ref="B108:D109"/>
    <mergeCell ref="B111:D111"/>
    <mergeCell ref="C116:F116"/>
    <mergeCell ref="B117:G118"/>
    <mergeCell ref="B90:G91"/>
    <mergeCell ref="B192:E192"/>
    <mergeCell ref="B195:E195"/>
    <mergeCell ref="D199:E204"/>
    <mergeCell ref="B213:E213"/>
    <mergeCell ref="B216:E217"/>
    <mergeCell ref="H216:H217"/>
    <mergeCell ref="D170:E170"/>
    <mergeCell ref="B171:D172"/>
    <mergeCell ref="B174:D174"/>
    <mergeCell ref="B188:D189"/>
    <mergeCell ref="B190:H191"/>
    <mergeCell ref="C179:F179"/>
    <mergeCell ref="B180:G181"/>
    <mergeCell ref="H279:H280"/>
    <mergeCell ref="B283:E283"/>
    <mergeCell ref="B284:E284"/>
    <mergeCell ref="B286:E286"/>
    <mergeCell ref="C276:F276"/>
    <mergeCell ref="B277:G278"/>
    <mergeCell ref="B242:D242"/>
    <mergeCell ref="B251:D252"/>
    <mergeCell ref="B253:H254"/>
    <mergeCell ref="B255:E255"/>
    <mergeCell ref="B258:E258"/>
    <mergeCell ref="D262:E267"/>
    <mergeCell ref="B279:E280"/>
    <mergeCell ref="D296:E296"/>
    <mergeCell ref="B297:D298"/>
    <mergeCell ref="B300:D300"/>
    <mergeCell ref="B314:D315"/>
    <mergeCell ref="C305:F305"/>
    <mergeCell ref="B306:G307"/>
    <mergeCell ref="D287:E287"/>
    <mergeCell ref="D289:E289"/>
    <mergeCell ref="D290:E290"/>
    <mergeCell ref="B291:D292"/>
    <mergeCell ref="D293:E293"/>
    <mergeCell ref="D295:E295"/>
    <mergeCell ref="B228:D229"/>
    <mergeCell ref="D230:E230"/>
    <mergeCell ref="D232:E232"/>
    <mergeCell ref="D233:E233"/>
    <mergeCell ref="B234:D235"/>
    <mergeCell ref="B237:D237"/>
    <mergeCell ref="B220:E220"/>
    <mergeCell ref="B221:E221"/>
    <mergeCell ref="B223:E223"/>
    <mergeCell ref="D224:E224"/>
    <mergeCell ref="D226:E226"/>
    <mergeCell ref="D227:E227"/>
  </mergeCells>
  <pageMargins left="0.5" right="0.25" top="0.75" bottom="0.75" header="0.3" footer="0.3"/>
  <pageSetup paperSize="9" scale="7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6"/>
  <sheetViews>
    <sheetView view="pageBreakPreview" topLeftCell="A91" zoomScale="70" zoomScaleSheetLayoutView="70" workbookViewId="0">
      <selection activeCell="C115" sqref="C115"/>
    </sheetView>
  </sheetViews>
  <sheetFormatPr defaultRowHeight="15"/>
  <cols>
    <col min="1" max="1" width="35.5703125" customWidth="1"/>
    <col min="2" max="2" width="14.5703125" bestFit="1" customWidth="1"/>
    <col min="3" max="3" width="13.28515625" customWidth="1"/>
    <col min="4" max="4" width="13.42578125" customWidth="1"/>
    <col min="5" max="5" width="14.85546875" customWidth="1"/>
    <col min="6" max="7" width="14.7109375" bestFit="1" customWidth="1"/>
    <col min="8" max="8" width="14.85546875" bestFit="1" customWidth="1"/>
    <col min="9" max="9" width="14.85546875" customWidth="1"/>
    <col min="10" max="10" width="14.7109375" bestFit="1" customWidth="1"/>
    <col min="11" max="11" width="14.85546875" customWidth="1"/>
    <col min="12" max="12" width="39.140625" hidden="1" customWidth="1"/>
    <col min="13" max="13" width="12.7109375" hidden="1" customWidth="1"/>
    <col min="14" max="20" width="15.5703125" hidden="1" customWidth="1"/>
    <col min="21" max="22" width="0" hidden="1" customWidth="1"/>
  </cols>
  <sheetData>
    <row r="1" spans="1:11" hidden="1"/>
    <row r="2" spans="1:11" ht="18.75" hidden="1">
      <c r="A2" s="724" t="s">
        <v>550</v>
      </c>
      <c r="B2" s="724"/>
      <c r="C2" s="724"/>
      <c r="D2" s="724"/>
      <c r="E2" s="724"/>
      <c r="F2" s="724"/>
      <c r="G2" s="724"/>
      <c r="H2" s="724"/>
      <c r="I2" s="724"/>
      <c r="J2" s="724"/>
      <c r="K2" s="724"/>
    </row>
    <row r="3" spans="1:11" hidden="1"/>
    <row r="4" spans="1:11" hidden="1">
      <c r="A4" s="68"/>
      <c r="B4" s="68"/>
      <c r="C4" s="68"/>
      <c r="D4" s="68"/>
      <c r="E4" s="148">
        <v>1</v>
      </c>
      <c r="F4" s="146">
        <f>(E4*5%)+E4</f>
        <v>1.05</v>
      </c>
      <c r="G4" s="146">
        <f>(F4*5%)+F4</f>
        <v>1.1025</v>
      </c>
      <c r="H4" s="146">
        <v>1.2</v>
      </c>
      <c r="I4" s="146">
        <f>(H4*5%)+H4</f>
        <v>1.26</v>
      </c>
      <c r="J4" s="146">
        <f>(I4*5%)+I4</f>
        <v>1.323</v>
      </c>
      <c r="K4" s="146">
        <f>(J4*5%)+J4</f>
        <v>1.3891499999999999</v>
      </c>
    </row>
    <row r="5" spans="1:11" hidden="1">
      <c r="A5" s="68"/>
      <c r="B5" s="68"/>
      <c r="C5" s="68"/>
      <c r="D5" s="68"/>
      <c r="E5" s="68"/>
      <c r="F5" s="68"/>
      <c r="G5" s="68"/>
      <c r="H5" s="68"/>
      <c r="I5" s="68"/>
      <c r="J5" s="68"/>
      <c r="K5" s="68"/>
    </row>
    <row r="6" spans="1:11" hidden="1">
      <c r="A6" s="119" t="s">
        <v>0</v>
      </c>
      <c r="B6" s="119" t="s">
        <v>132</v>
      </c>
      <c r="C6" s="119" t="s">
        <v>390</v>
      </c>
      <c r="D6" s="119" t="s">
        <v>290</v>
      </c>
      <c r="E6" s="91" t="s">
        <v>2</v>
      </c>
      <c r="F6" s="91" t="s">
        <v>3</v>
      </c>
      <c r="G6" s="91" t="s">
        <v>4</v>
      </c>
      <c r="H6" s="91" t="s">
        <v>5</v>
      </c>
      <c r="I6" s="91" t="s">
        <v>6</v>
      </c>
      <c r="J6" s="91" t="s">
        <v>170</v>
      </c>
      <c r="K6" s="91" t="s">
        <v>169</v>
      </c>
    </row>
    <row r="7" spans="1:11" hidden="1">
      <c r="A7" s="69"/>
      <c r="B7" s="69"/>
      <c r="C7" s="69"/>
      <c r="D7" s="69"/>
      <c r="E7" s="69"/>
      <c r="F7" s="69"/>
      <c r="G7" s="69"/>
      <c r="H7" s="69"/>
      <c r="I7" s="69"/>
      <c r="J7" s="69"/>
      <c r="K7" s="69"/>
    </row>
    <row r="8" spans="1:11" hidden="1">
      <c r="A8" s="69" t="s">
        <v>333</v>
      </c>
      <c r="B8" s="69" t="s">
        <v>391</v>
      </c>
      <c r="C8" s="69">
        <v>1</v>
      </c>
      <c r="D8" s="159">
        <v>30000</v>
      </c>
      <c r="E8" s="70">
        <f>$C8*$D8*12*E$4</f>
        <v>360000</v>
      </c>
      <c r="F8" s="70">
        <f t="shared" ref="F8:K10" si="0">$C8*$D8*12*F$4</f>
        <v>378000</v>
      </c>
      <c r="G8" s="70">
        <f t="shared" si="0"/>
        <v>396900</v>
      </c>
      <c r="H8" s="70">
        <f t="shared" si="0"/>
        <v>432000</v>
      </c>
      <c r="I8" s="70">
        <f t="shared" si="0"/>
        <v>453600</v>
      </c>
      <c r="J8" s="70">
        <f t="shared" si="0"/>
        <v>476280</v>
      </c>
      <c r="K8" s="70">
        <f t="shared" si="0"/>
        <v>500093.99999999994</v>
      </c>
    </row>
    <row r="9" spans="1:11" hidden="1">
      <c r="A9" s="69" t="s">
        <v>189</v>
      </c>
      <c r="B9" s="69" t="s">
        <v>391</v>
      </c>
      <c r="C9" s="69">
        <v>2</v>
      </c>
      <c r="D9" s="159">
        <v>15000</v>
      </c>
      <c r="E9" s="70">
        <f>$C9*$D9*12*E$4</f>
        <v>360000</v>
      </c>
      <c r="F9" s="70">
        <f t="shared" si="0"/>
        <v>378000</v>
      </c>
      <c r="G9" s="70">
        <f t="shared" si="0"/>
        <v>396900</v>
      </c>
      <c r="H9" s="70">
        <f t="shared" si="0"/>
        <v>432000</v>
      </c>
      <c r="I9" s="70">
        <f t="shared" si="0"/>
        <v>453600</v>
      </c>
      <c r="J9" s="70">
        <f t="shared" si="0"/>
        <v>476280</v>
      </c>
      <c r="K9" s="70">
        <f t="shared" si="0"/>
        <v>500093.99999999994</v>
      </c>
    </row>
    <row r="10" spans="1:11" hidden="1">
      <c r="A10" s="69" t="s">
        <v>194</v>
      </c>
      <c r="B10" s="69" t="s">
        <v>391</v>
      </c>
      <c r="C10" s="69">
        <v>3</v>
      </c>
      <c r="D10" s="159">
        <v>8000</v>
      </c>
      <c r="E10" s="70">
        <f>$C10*$D10*12*E$4</f>
        <v>288000</v>
      </c>
      <c r="F10" s="70">
        <f t="shared" si="0"/>
        <v>302400</v>
      </c>
      <c r="G10" s="70">
        <f t="shared" si="0"/>
        <v>317520</v>
      </c>
      <c r="H10" s="70">
        <f t="shared" si="0"/>
        <v>345600</v>
      </c>
      <c r="I10" s="70">
        <f t="shared" si="0"/>
        <v>362880</v>
      </c>
      <c r="J10" s="70">
        <f t="shared" si="0"/>
        <v>381024</v>
      </c>
      <c r="K10" s="70">
        <f t="shared" si="0"/>
        <v>400075.19999999995</v>
      </c>
    </row>
    <row r="11" spans="1:11" hidden="1">
      <c r="A11" s="69" t="s">
        <v>130</v>
      </c>
      <c r="B11" s="69" t="s">
        <v>392</v>
      </c>
      <c r="C11" s="69">
        <v>12</v>
      </c>
      <c r="D11" s="159">
        <v>2530</v>
      </c>
      <c r="E11" s="70">
        <f>$C11*$D11*E$4</f>
        <v>30360</v>
      </c>
      <c r="F11" s="70">
        <f t="shared" ref="F11:K15" si="1">$C11*$D11*F$4</f>
        <v>31878</v>
      </c>
      <c r="G11" s="70">
        <f t="shared" si="1"/>
        <v>33471.9</v>
      </c>
      <c r="H11" s="70">
        <f t="shared" si="1"/>
        <v>36432</v>
      </c>
      <c r="I11" s="70">
        <f t="shared" si="1"/>
        <v>38253.599999999999</v>
      </c>
      <c r="J11" s="70">
        <f t="shared" si="1"/>
        <v>40166.28</v>
      </c>
      <c r="K11" s="70">
        <f t="shared" si="1"/>
        <v>42174.593999999997</v>
      </c>
    </row>
    <row r="12" spans="1:11" hidden="1">
      <c r="A12" s="69" t="s">
        <v>10</v>
      </c>
      <c r="B12" s="69" t="s">
        <v>392</v>
      </c>
      <c r="C12" s="69">
        <v>12</v>
      </c>
      <c r="D12" s="159">
        <v>2365</v>
      </c>
      <c r="E12" s="70">
        <f>$C12*$D12*E$4</f>
        <v>28380</v>
      </c>
      <c r="F12" s="70">
        <f t="shared" si="1"/>
        <v>29799</v>
      </c>
      <c r="G12" s="70">
        <f t="shared" si="1"/>
        <v>31288.95</v>
      </c>
      <c r="H12" s="70">
        <f t="shared" si="1"/>
        <v>34056</v>
      </c>
      <c r="I12" s="70">
        <f t="shared" si="1"/>
        <v>35758.800000000003</v>
      </c>
      <c r="J12" s="70">
        <f t="shared" si="1"/>
        <v>37546.74</v>
      </c>
      <c r="K12" s="70">
        <f t="shared" si="1"/>
        <v>39424.076999999997</v>
      </c>
    </row>
    <row r="13" spans="1:11" hidden="1">
      <c r="A13" s="69" t="s">
        <v>190</v>
      </c>
      <c r="B13" s="69" t="s">
        <v>392</v>
      </c>
      <c r="C13" s="69">
        <v>12</v>
      </c>
      <c r="D13" s="159">
        <v>2547</v>
      </c>
      <c r="E13" s="70">
        <f>$C13*$D13*E$4</f>
        <v>30564</v>
      </c>
      <c r="F13" s="70">
        <f t="shared" si="1"/>
        <v>32092.2</v>
      </c>
      <c r="G13" s="70">
        <f t="shared" si="1"/>
        <v>33696.81</v>
      </c>
      <c r="H13" s="70">
        <f t="shared" si="1"/>
        <v>36676.799999999996</v>
      </c>
      <c r="I13" s="70">
        <f t="shared" si="1"/>
        <v>38510.639999999999</v>
      </c>
      <c r="J13" s="70">
        <f t="shared" si="1"/>
        <v>40436.171999999999</v>
      </c>
      <c r="K13" s="70">
        <f t="shared" si="1"/>
        <v>42457.980599999995</v>
      </c>
    </row>
    <row r="14" spans="1:11" hidden="1">
      <c r="A14" s="69" t="s">
        <v>161</v>
      </c>
      <c r="B14" s="69" t="s">
        <v>392</v>
      </c>
      <c r="C14" s="69">
        <v>12</v>
      </c>
      <c r="D14" s="159">
        <v>20000</v>
      </c>
      <c r="E14" s="70">
        <f>$C14*$D14*E$4</f>
        <v>240000</v>
      </c>
      <c r="F14" s="70">
        <f t="shared" si="1"/>
        <v>252000</v>
      </c>
      <c r="G14" s="70">
        <f t="shared" si="1"/>
        <v>264600</v>
      </c>
      <c r="H14" s="70">
        <f t="shared" si="1"/>
        <v>288000</v>
      </c>
      <c r="I14" s="70">
        <f t="shared" si="1"/>
        <v>302400</v>
      </c>
      <c r="J14" s="70">
        <f t="shared" si="1"/>
        <v>317520</v>
      </c>
      <c r="K14" s="70">
        <f t="shared" si="1"/>
        <v>333396</v>
      </c>
    </row>
    <row r="15" spans="1:11" hidden="1">
      <c r="A15" s="69" t="s">
        <v>191</v>
      </c>
      <c r="B15" s="69" t="s">
        <v>392</v>
      </c>
      <c r="C15" s="69">
        <v>12</v>
      </c>
      <c r="D15" s="159">
        <v>6532</v>
      </c>
      <c r="E15" s="70">
        <f>$C15*$D15*E$4</f>
        <v>78384</v>
      </c>
      <c r="F15" s="70">
        <f t="shared" si="1"/>
        <v>82303.199999999997</v>
      </c>
      <c r="G15" s="70">
        <f t="shared" si="1"/>
        <v>86418.36</v>
      </c>
      <c r="H15" s="70">
        <f t="shared" si="1"/>
        <v>94060.800000000003</v>
      </c>
      <c r="I15" s="70">
        <f t="shared" si="1"/>
        <v>98763.839999999997</v>
      </c>
      <c r="J15" s="70">
        <f t="shared" si="1"/>
        <v>103702.03199999999</v>
      </c>
      <c r="K15" s="70">
        <f t="shared" si="1"/>
        <v>108887.13359999999</v>
      </c>
    </row>
    <row r="16" spans="1:11" hidden="1">
      <c r="A16" s="69" t="s">
        <v>192</v>
      </c>
      <c r="B16" s="69" t="s">
        <v>393</v>
      </c>
      <c r="C16" s="69">
        <v>1</v>
      </c>
      <c r="D16" s="159">
        <v>25000</v>
      </c>
      <c r="E16" s="70">
        <f>$D16*E$4*$C16</f>
        <v>25000</v>
      </c>
      <c r="F16" s="70">
        <f t="shared" ref="F16:K22" si="2">$D16*F$4*$C16</f>
        <v>26250</v>
      </c>
      <c r="G16" s="70">
        <f t="shared" si="2"/>
        <v>27562.5</v>
      </c>
      <c r="H16" s="70">
        <f t="shared" si="2"/>
        <v>30000</v>
      </c>
      <c r="I16" s="70">
        <f t="shared" si="2"/>
        <v>31500</v>
      </c>
      <c r="J16" s="70">
        <f t="shared" si="2"/>
        <v>33075</v>
      </c>
      <c r="K16" s="70">
        <f t="shared" si="2"/>
        <v>34728.75</v>
      </c>
    </row>
    <row r="17" spans="1:20" hidden="1">
      <c r="A17" s="69" t="s">
        <v>695</v>
      </c>
      <c r="B17" s="69" t="s">
        <v>392</v>
      </c>
      <c r="C17" s="69">
        <v>12</v>
      </c>
      <c r="D17" s="159">
        <v>35000</v>
      </c>
      <c r="E17" s="70">
        <f>$D17*E$4*$C17</f>
        <v>420000</v>
      </c>
      <c r="F17" s="70">
        <f t="shared" si="2"/>
        <v>441000</v>
      </c>
      <c r="G17" s="70">
        <f t="shared" si="2"/>
        <v>463050</v>
      </c>
      <c r="H17" s="70">
        <f t="shared" si="2"/>
        <v>504000</v>
      </c>
      <c r="I17" s="70">
        <f t="shared" si="2"/>
        <v>529200</v>
      </c>
      <c r="J17" s="70">
        <f t="shared" si="2"/>
        <v>555660</v>
      </c>
      <c r="K17" s="70">
        <f t="shared" si="2"/>
        <v>583442.99999999988</v>
      </c>
    </row>
    <row r="18" spans="1:20" hidden="1">
      <c r="A18" s="69" t="s">
        <v>816</v>
      </c>
      <c r="B18" s="69" t="s">
        <v>393</v>
      </c>
      <c r="C18" s="69">
        <v>1</v>
      </c>
      <c r="D18" s="159">
        <v>55000</v>
      </c>
      <c r="E18" s="70">
        <f>$D18*E$4*$C18</f>
        <v>55000</v>
      </c>
      <c r="F18" s="70">
        <f t="shared" si="2"/>
        <v>57750</v>
      </c>
      <c r="G18" s="70">
        <f t="shared" si="2"/>
        <v>60637.5</v>
      </c>
      <c r="H18" s="70">
        <f t="shared" si="2"/>
        <v>66000</v>
      </c>
      <c r="I18" s="70">
        <f t="shared" si="2"/>
        <v>69300</v>
      </c>
      <c r="J18" s="70">
        <f t="shared" si="2"/>
        <v>72765</v>
      </c>
      <c r="K18" s="70">
        <f t="shared" si="2"/>
        <v>76403.25</v>
      </c>
    </row>
    <row r="19" spans="1:20" hidden="1">
      <c r="A19" s="69" t="s">
        <v>817</v>
      </c>
      <c r="B19" s="69" t="s">
        <v>392</v>
      </c>
      <c r="C19" s="69">
        <v>12</v>
      </c>
      <c r="D19" s="159">
        <v>7569</v>
      </c>
      <c r="E19" s="70">
        <f t="shared" ref="E19:K19" si="3">$C19*$D19*E$4</f>
        <v>90828</v>
      </c>
      <c r="F19" s="70">
        <f t="shared" si="3"/>
        <v>95369.400000000009</v>
      </c>
      <c r="G19" s="70">
        <f t="shared" si="3"/>
        <v>100137.87000000001</v>
      </c>
      <c r="H19" s="70">
        <f t="shared" si="3"/>
        <v>108993.59999999999</v>
      </c>
      <c r="I19" s="70">
        <f t="shared" si="3"/>
        <v>114443.28</v>
      </c>
      <c r="J19" s="70">
        <f t="shared" si="3"/>
        <v>120165.44399999999</v>
      </c>
      <c r="K19" s="70">
        <f t="shared" si="3"/>
        <v>126173.7162</v>
      </c>
    </row>
    <row r="20" spans="1:20" hidden="1">
      <c r="A20" s="69"/>
      <c r="B20" s="69"/>
      <c r="C20" s="69"/>
      <c r="D20" s="159"/>
      <c r="E20" s="70">
        <f>$D20*E$4*$C20</f>
        <v>0</v>
      </c>
      <c r="F20" s="70">
        <f t="shared" si="2"/>
        <v>0</v>
      </c>
      <c r="G20" s="70">
        <f t="shared" si="2"/>
        <v>0</v>
      </c>
      <c r="H20" s="70">
        <f t="shared" si="2"/>
        <v>0</v>
      </c>
      <c r="I20" s="70">
        <f t="shared" si="2"/>
        <v>0</v>
      </c>
      <c r="J20" s="70">
        <f t="shared" si="2"/>
        <v>0</v>
      </c>
      <c r="K20" s="70">
        <f t="shared" si="2"/>
        <v>0</v>
      </c>
    </row>
    <row r="21" spans="1:20" hidden="1">
      <c r="A21" s="69"/>
      <c r="B21" s="69"/>
      <c r="C21" s="69"/>
      <c r="D21" s="159"/>
      <c r="E21" s="70">
        <f>$D21*E$4*$C21</f>
        <v>0</v>
      </c>
      <c r="F21" s="70">
        <f t="shared" si="2"/>
        <v>0</v>
      </c>
      <c r="G21" s="70">
        <f t="shared" si="2"/>
        <v>0</v>
      </c>
      <c r="H21" s="70">
        <f t="shared" si="2"/>
        <v>0</v>
      </c>
      <c r="I21" s="70">
        <f t="shared" si="2"/>
        <v>0</v>
      </c>
      <c r="J21" s="70">
        <f t="shared" si="2"/>
        <v>0</v>
      </c>
      <c r="K21" s="70">
        <f t="shared" si="2"/>
        <v>0</v>
      </c>
    </row>
    <row r="22" spans="1:20" hidden="1">
      <c r="A22" s="69"/>
      <c r="B22" s="69"/>
      <c r="C22" s="69"/>
      <c r="D22" s="70"/>
      <c r="E22" s="70">
        <f>$D22*E$4*$C22</f>
        <v>0</v>
      </c>
      <c r="F22" s="70">
        <f t="shared" si="2"/>
        <v>0</v>
      </c>
      <c r="G22" s="70">
        <f t="shared" si="2"/>
        <v>0</v>
      </c>
      <c r="H22" s="70">
        <f t="shared" si="2"/>
        <v>0</v>
      </c>
      <c r="I22" s="70">
        <f t="shared" si="2"/>
        <v>0</v>
      </c>
      <c r="J22" s="70">
        <f t="shared" si="2"/>
        <v>0</v>
      </c>
      <c r="K22" s="70">
        <f t="shared" si="2"/>
        <v>0</v>
      </c>
    </row>
    <row r="23" spans="1:20" hidden="1">
      <c r="A23" s="71" t="s">
        <v>131</v>
      </c>
      <c r="B23" s="71"/>
      <c r="C23" s="71"/>
      <c r="D23" s="87"/>
      <c r="E23" s="87">
        <f>SUM(E8:E22)</f>
        <v>2006516</v>
      </c>
      <c r="F23" s="87">
        <f t="shared" ref="F23:K23" si="4">SUM(F8:F22)</f>
        <v>2106841.7999999998</v>
      </c>
      <c r="G23" s="87">
        <f t="shared" si="4"/>
        <v>2212183.89</v>
      </c>
      <c r="H23" s="87">
        <f t="shared" si="4"/>
        <v>2407819.2000000002</v>
      </c>
      <c r="I23" s="87">
        <f t="shared" si="4"/>
        <v>2528210.1599999997</v>
      </c>
      <c r="J23" s="87">
        <f t="shared" si="4"/>
        <v>2654620.6680000001</v>
      </c>
      <c r="K23" s="87">
        <f t="shared" si="4"/>
        <v>2787351.7013999997</v>
      </c>
    </row>
    <row r="24" spans="1:20" hidden="1"/>
    <row r="25" spans="1:20" hidden="1"/>
    <row r="26" spans="1:20" hidden="1"/>
    <row r="27" spans="1:20" hidden="1"/>
    <row r="28" spans="1:20" hidden="1">
      <c r="A28" s="1128"/>
      <c r="B28" s="1128"/>
      <c r="C28" s="1128"/>
      <c r="D28" s="1128"/>
      <c r="E28" s="1128"/>
      <c r="F28" s="1128"/>
      <c r="G28" s="1128"/>
      <c r="H28" s="1128"/>
      <c r="I28" s="1128"/>
      <c r="J28" s="1128"/>
      <c r="K28" s="1128"/>
      <c r="L28" s="1128"/>
      <c r="M28" s="1128"/>
      <c r="N28" s="1128"/>
      <c r="O28" s="1128"/>
    </row>
    <row r="29" spans="1:20" ht="18.75" hidden="1">
      <c r="A29" s="1129" t="s">
        <v>551</v>
      </c>
      <c r="B29" s="1129"/>
      <c r="C29" s="1129"/>
      <c r="D29" s="1129"/>
      <c r="E29" s="1129"/>
      <c r="F29" s="1129"/>
      <c r="G29" s="1129"/>
      <c r="H29" s="1129"/>
      <c r="I29" s="1129"/>
      <c r="J29" s="410"/>
      <c r="K29" s="410"/>
      <c r="L29" s="410"/>
      <c r="M29" s="410"/>
      <c r="N29" s="410"/>
      <c r="O29" s="410"/>
      <c r="P29" s="410"/>
      <c r="Q29" s="410"/>
    </row>
    <row r="30" spans="1:20" hidden="1">
      <c r="A30" s="120"/>
      <c r="B30" s="120"/>
      <c r="C30" s="120"/>
      <c r="D30" s="120"/>
      <c r="E30" s="120"/>
      <c r="F30" s="120"/>
      <c r="G30" s="120"/>
      <c r="H30" s="120"/>
      <c r="I30" s="120"/>
      <c r="J30" s="120"/>
      <c r="K30" s="120"/>
      <c r="L30" s="120"/>
      <c r="M30" s="120"/>
      <c r="N30" s="120"/>
      <c r="O30" s="120"/>
    </row>
    <row r="31" spans="1:20" hidden="1">
      <c r="A31" s="68"/>
      <c r="B31" s="68"/>
      <c r="C31" s="1130" t="s">
        <v>195</v>
      </c>
      <c r="D31" s="1130"/>
      <c r="E31" s="1130"/>
      <c r="F31" s="1130"/>
      <c r="G31" s="1130"/>
      <c r="H31" s="1130"/>
      <c r="I31" s="1130"/>
      <c r="J31" s="68"/>
      <c r="N31" s="375" t="s">
        <v>196</v>
      </c>
      <c r="O31" s="375"/>
      <c r="P31" s="375"/>
      <c r="Q31" s="375"/>
      <c r="R31" s="375"/>
      <c r="S31" s="375"/>
    </row>
    <row r="32" spans="1:20" hidden="1">
      <c r="A32" s="139" t="s">
        <v>0</v>
      </c>
      <c r="B32" s="133"/>
      <c r="C32" s="47" t="s">
        <v>2</v>
      </c>
      <c r="D32" s="47" t="s">
        <v>3</v>
      </c>
      <c r="E32" s="47" t="s">
        <v>4</v>
      </c>
      <c r="F32" s="47" t="s">
        <v>5</v>
      </c>
      <c r="G32" s="47" t="s">
        <v>6</v>
      </c>
      <c r="H32" s="47" t="s">
        <v>170</v>
      </c>
      <c r="I32" s="47" t="s">
        <v>169</v>
      </c>
      <c r="J32" s="379"/>
      <c r="K32" s="380"/>
      <c r="L32" s="139" t="s">
        <v>0</v>
      </c>
      <c r="M32" s="133"/>
      <c r="N32" s="47" t="s">
        <v>2</v>
      </c>
      <c r="O32" s="47" t="s">
        <v>3</v>
      </c>
      <c r="P32" s="47" t="s">
        <v>4</v>
      </c>
      <c r="Q32" s="47" t="s">
        <v>5</v>
      </c>
      <c r="R32" s="47" t="s">
        <v>6</v>
      </c>
      <c r="S32" s="47" t="s">
        <v>170</v>
      </c>
      <c r="T32" s="47" t="s">
        <v>169</v>
      </c>
    </row>
    <row r="33" spans="1:20" hidden="1">
      <c r="A33" s="134" t="s">
        <v>197</v>
      </c>
      <c r="B33" s="69"/>
      <c r="C33" s="69"/>
      <c r="D33" s="69"/>
      <c r="E33" s="69"/>
      <c r="F33" s="69"/>
      <c r="G33" s="135"/>
      <c r="H33" s="135"/>
      <c r="I33" s="135"/>
      <c r="J33" s="381"/>
      <c r="K33" s="382"/>
      <c r="L33" s="134" t="s">
        <v>197</v>
      </c>
      <c r="M33" s="69"/>
      <c r="N33" s="69"/>
      <c r="O33" s="69"/>
      <c r="P33" s="69"/>
      <c r="Q33" s="69"/>
      <c r="R33" s="135"/>
      <c r="S33" s="135"/>
      <c r="T33" s="135"/>
    </row>
    <row r="34" spans="1:20" hidden="1">
      <c r="A34" s="134"/>
      <c r="B34" s="69"/>
      <c r="C34" s="69"/>
      <c r="D34" s="69"/>
      <c r="E34" s="69"/>
      <c r="F34" s="69"/>
      <c r="G34" s="135"/>
      <c r="H34" s="135"/>
      <c r="I34" s="135"/>
      <c r="J34" s="381"/>
      <c r="K34" s="382"/>
      <c r="L34" s="134"/>
      <c r="M34" s="69"/>
      <c r="N34" s="69"/>
      <c r="O34" s="69"/>
      <c r="P34" s="69"/>
      <c r="Q34" s="69"/>
      <c r="R34" s="135"/>
      <c r="S34" s="135"/>
      <c r="T34" s="135"/>
    </row>
    <row r="35" spans="1:20" hidden="1">
      <c r="A35" s="136"/>
      <c r="B35" s="136"/>
      <c r="C35" s="69"/>
      <c r="D35" s="69"/>
      <c r="E35" s="69"/>
      <c r="F35" s="69"/>
      <c r="G35" s="69"/>
      <c r="H35" s="69"/>
      <c r="I35" s="69"/>
      <c r="J35" s="381"/>
      <c r="K35" s="382"/>
      <c r="L35" s="136"/>
      <c r="M35" s="136"/>
      <c r="N35" s="69"/>
      <c r="O35" s="69"/>
      <c r="P35" s="69"/>
      <c r="Q35" s="69"/>
      <c r="R35" s="69"/>
      <c r="S35" s="69"/>
      <c r="T35" s="69"/>
    </row>
    <row r="36" spans="1:20" hidden="1">
      <c r="A36" s="137" t="s">
        <v>201</v>
      </c>
      <c r="B36" s="137"/>
      <c r="C36" s="69"/>
      <c r="D36" s="69"/>
      <c r="E36" s="69"/>
      <c r="F36" s="69"/>
      <c r="G36" s="69"/>
      <c r="H36" s="69"/>
      <c r="I36" s="69"/>
      <c r="J36" s="381"/>
      <c r="K36" s="382"/>
      <c r="L36" s="137" t="s">
        <v>201</v>
      </c>
      <c r="M36" s="137"/>
      <c r="N36" s="69"/>
      <c r="O36" s="69"/>
      <c r="P36" s="69"/>
      <c r="Q36" s="69"/>
      <c r="R36" s="69"/>
      <c r="S36" s="69"/>
      <c r="T36" s="69"/>
    </row>
    <row r="37" spans="1:20" hidden="1">
      <c r="A37" s="136" t="s">
        <v>198</v>
      </c>
      <c r="B37" s="136"/>
      <c r="C37" s="138">
        <f>'1.Project Cost and MOF old'!D5</f>
        <v>19004500</v>
      </c>
      <c r="D37" s="138">
        <f t="shared" ref="D37:I37" si="5">C40</f>
        <v>18402057.350000001</v>
      </c>
      <c r="E37" s="138">
        <f t="shared" si="5"/>
        <v>17799614.700000003</v>
      </c>
      <c r="F37" s="138">
        <f t="shared" si="5"/>
        <v>17197172.050000004</v>
      </c>
      <c r="G37" s="138">
        <f t="shared" si="5"/>
        <v>16594729.400000004</v>
      </c>
      <c r="H37" s="138">
        <f t="shared" si="5"/>
        <v>15992286.750000004</v>
      </c>
      <c r="I37" s="138">
        <f t="shared" si="5"/>
        <v>15389844.100000003</v>
      </c>
      <c r="J37" s="381"/>
      <c r="K37" s="382"/>
      <c r="L37" s="136" t="s">
        <v>198</v>
      </c>
      <c r="M37" s="136"/>
      <c r="N37" s="138">
        <f>C37</f>
        <v>19004500</v>
      </c>
      <c r="O37" s="138">
        <f t="shared" ref="O37:T37" si="6">N40</f>
        <v>17104050</v>
      </c>
      <c r="P37" s="138">
        <f t="shared" si="6"/>
        <v>15393645</v>
      </c>
      <c r="Q37" s="138">
        <f t="shared" si="6"/>
        <v>13854280.5</v>
      </c>
      <c r="R37" s="138">
        <f t="shared" si="6"/>
        <v>12468852.449999999</v>
      </c>
      <c r="S37" s="138">
        <f t="shared" si="6"/>
        <v>11221967.205</v>
      </c>
      <c r="T37" s="138">
        <f t="shared" si="6"/>
        <v>10099770.4845</v>
      </c>
    </row>
    <row r="38" spans="1:20" hidden="1">
      <c r="A38" s="136" t="s">
        <v>17</v>
      </c>
      <c r="B38" s="136"/>
      <c r="C38" s="138">
        <f t="shared" ref="C38:I38" si="7">$C$37*$B$74</f>
        <v>602442.65</v>
      </c>
      <c r="D38" s="138">
        <f t="shared" si="7"/>
        <v>602442.65</v>
      </c>
      <c r="E38" s="138">
        <f t="shared" si="7"/>
        <v>602442.65</v>
      </c>
      <c r="F38" s="138">
        <f t="shared" si="7"/>
        <v>602442.65</v>
      </c>
      <c r="G38" s="138">
        <f t="shared" si="7"/>
        <v>602442.65</v>
      </c>
      <c r="H38" s="138">
        <f t="shared" si="7"/>
        <v>602442.65</v>
      </c>
      <c r="I38" s="138">
        <f t="shared" si="7"/>
        <v>602442.65</v>
      </c>
      <c r="J38" s="381"/>
      <c r="K38" s="382"/>
      <c r="L38" s="136" t="s">
        <v>17</v>
      </c>
      <c r="M38" s="136"/>
      <c r="N38" s="138">
        <f t="shared" ref="N38:T38" si="8">N37*$C$74</f>
        <v>1900450</v>
      </c>
      <c r="O38" s="138">
        <f t="shared" si="8"/>
        <v>1710405</v>
      </c>
      <c r="P38" s="138">
        <f t="shared" si="8"/>
        <v>1539364.5</v>
      </c>
      <c r="Q38" s="138">
        <f t="shared" si="8"/>
        <v>1385428.05</v>
      </c>
      <c r="R38" s="138">
        <f t="shared" si="8"/>
        <v>1246885.2449999999</v>
      </c>
      <c r="S38" s="138">
        <f t="shared" si="8"/>
        <v>1122196.7205000001</v>
      </c>
      <c r="T38" s="138">
        <f t="shared" si="8"/>
        <v>1009977.0484500001</v>
      </c>
    </row>
    <row r="39" spans="1:20" hidden="1">
      <c r="A39" s="136" t="s">
        <v>199</v>
      </c>
      <c r="B39" s="136"/>
      <c r="C39" s="138">
        <f>C38</f>
        <v>602442.65</v>
      </c>
      <c r="D39" s="138">
        <f t="shared" ref="D39:I39" si="9">C39+D38</f>
        <v>1204885.3</v>
      </c>
      <c r="E39" s="138">
        <f t="shared" si="9"/>
        <v>1807327.9500000002</v>
      </c>
      <c r="F39" s="138">
        <f t="shared" si="9"/>
        <v>2409770.6</v>
      </c>
      <c r="G39" s="138">
        <f t="shared" si="9"/>
        <v>3012213.25</v>
      </c>
      <c r="H39" s="138">
        <f t="shared" si="9"/>
        <v>3614655.9</v>
      </c>
      <c r="I39" s="138">
        <f t="shared" si="9"/>
        <v>4217098.55</v>
      </c>
      <c r="J39" s="381"/>
      <c r="K39" s="382"/>
      <c r="L39" s="136" t="s">
        <v>199</v>
      </c>
      <c r="M39" s="136"/>
      <c r="N39" s="138">
        <f>N38</f>
        <v>1900450</v>
      </c>
      <c r="O39" s="138">
        <f t="shared" ref="O39:T39" si="10">N39+O38</f>
        <v>3610855</v>
      </c>
      <c r="P39" s="138">
        <f t="shared" si="10"/>
        <v>5150219.5</v>
      </c>
      <c r="Q39" s="138">
        <f t="shared" si="10"/>
        <v>6535647.5499999998</v>
      </c>
      <c r="R39" s="138">
        <f t="shared" si="10"/>
        <v>7782532.7949999999</v>
      </c>
      <c r="S39" s="138">
        <f t="shared" si="10"/>
        <v>8904729.5154999997</v>
      </c>
      <c r="T39" s="138">
        <f t="shared" si="10"/>
        <v>9914706.5639500003</v>
      </c>
    </row>
    <row r="40" spans="1:20" hidden="1">
      <c r="A40" s="136" t="s">
        <v>200</v>
      </c>
      <c r="B40" s="136"/>
      <c r="C40" s="138">
        <f t="shared" ref="C40:I40" si="11">C37-C38</f>
        <v>18402057.350000001</v>
      </c>
      <c r="D40" s="138">
        <f t="shared" si="11"/>
        <v>17799614.700000003</v>
      </c>
      <c r="E40" s="138">
        <f t="shared" si="11"/>
        <v>17197172.050000004</v>
      </c>
      <c r="F40" s="138">
        <f t="shared" si="11"/>
        <v>16594729.400000004</v>
      </c>
      <c r="G40" s="138">
        <f t="shared" si="11"/>
        <v>15992286.750000004</v>
      </c>
      <c r="H40" s="138">
        <f t="shared" si="11"/>
        <v>15389844.100000003</v>
      </c>
      <c r="I40" s="138">
        <f t="shared" si="11"/>
        <v>14787401.450000003</v>
      </c>
      <c r="J40" s="381"/>
      <c r="K40" s="382"/>
      <c r="L40" s="136" t="s">
        <v>200</v>
      </c>
      <c r="M40" s="136"/>
      <c r="N40" s="138">
        <f t="shared" ref="N40:T40" si="12">N37-N38</f>
        <v>17104050</v>
      </c>
      <c r="O40" s="138">
        <f t="shared" si="12"/>
        <v>15393645</v>
      </c>
      <c r="P40" s="138">
        <f t="shared" si="12"/>
        <v>13854280.5</v>
      </c>
      <c r="Q40" s="138">
        <f t="shared" si="12"/>
        <v>12468852.449999999</v>
      </c>
      <c r="R40" s="138">
        <f t="shared" si="12"/>
        <v>11221967.205</v>
      </c>
      <c r="S40" s="138">
        <f t="shared" si="12"/>
        <v>10099770.4845</v>
      </c>
      <c r="T40" s="138">
        <f t="shared" si="12"/>
        <v>9089793.4360499997</v>
      </c>
    </row>
    <row r="41" spans="1:20" hidden="1">
      <c r="A41" s="136"/>
      <c r="B41" s="136"/>
      <c r="C41" s="138"/>
      <c r="D41" s="138"/>
      <c r="E41" s="138"/>
      <c r="F41" s="138"/>
      <c r="G41" s="138"/>
      <c r="H41" s="138"/>
      <c r="I41" s="138"/>
      <c r="J41" s="381"/>
      <c r="K41" s="382"/>
      <c r="L41" s="136"/>
      <c r="M41" s="136"/>
      <c r="N41" s="138"/>
      <c r="O41" s="138"/>
      <c r="P41" s="138"/>
      <c r="Q41" s="138"/>
      <c r="R41" s="138"/>
      <c r="S41" s="138"/>
      <c r="T41" s="138"/>
    </row>
    <row r="42" spans="1:20" hidden="1">
      <c r="A42" s="137" t="s">
        <v>202</v>
      </c>
      <c r="B42" s="137"/>
      <c r="C42" s="138"/>
      <c r="D42" s="138"/>
      <c r="E42" s="138"/>
      <c r="F42" s="138"/>
      <c r="G42" s="138"/>
      <c r="H42" s="138"/>
      <c r="I42" s="138"/>
      <c r="J42" s="381"/>
      <c r="K42" s="382"/>
      <c r="L42" s="137" t="s">
        <v>202</v>
      </c>
      <c r="M42" s="137"/>
      <c r="N42" s="138"/>
      <c r="O42" s="138"/>
      <c r="P42" s="138"/>
      <c r="Q42" s="138"/>
      <c r="R42" s="138"/>
      <c r="S42" s="138"/>
      <c r="T42" s="138"/>
    </row>
    <row r="43" spans="1:20" hidden="1">
      <c r="A43" s="136" t="s">
        <v>198</v>
      </c>
      <c r="B43" s="136"/>
      <c r="C43" s="138">
        <f>'1.Project Cost and MOF old'!D6</f>
        <v>18127932.961199999</v>
      </c>
      <c r="D43" s="138">
        <f t="shared" ref="D43:I43" si="13">C46</f>
        <v>16980434.804756038</v>
      </c>
      <c r="E43" s="138">
        <f t="shared" si="13"/>
        <v>15832936.648312079</v>
      </c>
      <c r="F43" s="138">
        <f t="shared" si="13"/>
        <v>14685438.49186812</v>
      </c>
      <c r="G43" s="138">
        <f t="shared" si="13"/>
        <v>13537940.335424161</v>
      </c>
      <c r="H43" s="138">
        <f t="shared" si="13"/>
        <v>12390442.178980201</v>
      </c>
      <c r="I43" s="138">
        <f t="shared" si="13"/>
        <v>11242944.022536242</v>
      </c>
      <c r="J43" s="381"/>
      <c r="K43" s="382"/>
      <c r="L43" s="136" t="s">
        <v>198</v>
      </c>
      <c r="M43" s="136"/>
      <c r="N43" s="138">
        <f>C43</f>
        <v>18127932.961199999</v>
      </c>
      <c r="O43" s="138">
        <f t="shared" ref="O43:T43" si="14">N46</f>
        <v>15408743.017019998</v>
      </c>
      <c r="P43" s="138">
        <f t="shared" si="14"/>
        <v>13097431.564466998</v>
      </c>
      <c r="Q43" s="138">
        <f t="shared" si="14"/>
        <v>11132816.829796948</v>
      </c>
      <c r="R43" s="138">
        <f t="shared" si="14"/>
        <v>9462894.3053274062</v>
      </c>
      <c r="S43" s="138">
        <f t="shared" si="14"/>
        <v>8043460.1595282955</v>
      </c>
      <c r="T43" s="138">
        <f t="shared" si="14"/>
        <v>6836941.1355990507</v>
      </c>
    </row>
    <row r="44" spans="1:20" hidden="1">
      <c r="A44" s="136" t="s">
        <v>17</v>
      </c>
      <c r="B44" s="136"/>
      <c r="C44" s="138">
        <f t="shared" ref="C44:I44" si="15">$C$43*$B$78</f>
        <v>1147498.1564439598</v>
      </c>
      <c r="D44" s="138">
        <f t="shared" si="15"/>
        <v>1147498.1564439598</v>
      </c>
      <c r="E44" s="138">
        <f t="shared" si="15"/>
        <v>1147498.1564439598</v>
      </c>
      <c r="F44" s="138">
        <f t="shared" si="15"/>
        <v>1147498.1564439598</v>
      </c>
      <c r="G44" s="138">
        <f t="shared" si="15"/>
        <v>1147498.1564439598</v>
      </c>
      <c r="H44" s="138">
        <f t="shared" si="15"/>
        <v>1147498.1564439598</v>
      </c>
      <c r="I44" s="138">
        <f t="shared" si="15"/>
        <v>1147498.1564439598</v>
      </c>
      <c r="J44" s="381"/>
      <c r="K44" s="382"/>
      <c r="L44" s="136" t="s">
        <v>17</v>
      </c>
      <c r="M44" s="136"/>
      <c r="N44" s="138">
        <f t="shared" ref="N44:T44" si="16">N43*$C$78</f>
        <v>2719189.9441799996</v>
      </c>
      <c r="O44" s="138">
        <f t="shared" si="16"/>
        <v>2311311.4525529998</v>
      </c>
      <c r="P44" s="138">
        <f t="shared" si="16"/>
        <v>1964614.7346700495</v>
      </c>
      <c r="Q44" s="138">
        <f t="shared" si="16"/>
        <v>1669922.5244695421</v>
      </c>
      <c r="R44" s="138">
        <f t="shared" si="16"/>
        <v>1419434.1457991109</v>
      </c>
      <c r="S44" s="138">
        <f t="shared" si="16"/>
        <v>1206519.0239292444</v>
      </c>
      <c r="T44" s="138">
        <f t="shared" si="16"/>
        <v>1025541.1703398576</v>
      </c>
    </row>
    <row r="45" spans="1:20" hidden="1">
      <c r="A45" s="136" t="s">
        <v>199</v>
      </c>
      <c r="B45" s="136"/>
      <c r="C45" s="138">
        <f>C44</f>
        <v>1147498.1564439598</v>
      </c>
      <c r="D45" s="138">
        <f t="shared" ref="D45:I45" si="17">C45+D44</f>
        <v>2294996.3128879196</v>
      </c>
      <c r="E45" s="138">
        <f t="shared" si="17"/>
        <v>3442494.4693318792</v>
      </c>
      <c r="F45" s="138">
        <f t="shared" si="17"/>
        <v>4589992.6257758392</v>
      </c>
      <c r="G45" s="138">
        <f t="shared" si="17"/>
        <v>5737490.7822197992</v>
      </c>
      <c r="H45" s="138">
        <f t="shared" si="17"/>
        <v>6884988.9386637593</v>
      </c>
      <c r="I45" s="138">
        <f t="shared" si="17"/>
        <v>8032487.0951077193</v>
      </c>
      <c r="J45" s="381"/>
      <c r="K45" s="382"/>
      <c r="L45" s="136" t="s">
        <v>199</v>
      </c>
      <c r="M45" s="136"/>
      <c r="N45" s="138">
        <f>N44</f>
        <v>2719189.9441799996</v>
      </c>
      <c r="O45" s="138">
        <f t="shared" ref="O45:T45" si="18">N45+O44</f>
        <v>5030501.396732999</v>
      </c>
      <c r="P45" s="138">
        <f t="shared" si="18"/>
        <v>6995116.1314030485</v>
      </c>
      <c r="Q45" s="138">
        <f t="shared" si="18"/>
        <v>8665038.6558725908</v>
      </c>
      <c r="R45" s="138">
        <f t="shared" si="18"/>
        <v>10084472.801671702</v>
      </c>
      <c r="S45" s="138">
        <f t="shared" si="18"/>
        <v>11290991.825600946</v>
      </c>
      <c r="T45" s="138">
        <f t="shared" si="18"/>
        <v>12316532.995940804</v>
      </c>
    </row>
    <row r="46" spans="1:20" hidden="1">
      <c r="A46" s="136" t="s">
        <v>200</v>
      </c>
      <c r="B46" s="136"/>
      <c r="C46" s="138">
        <f t="shared" ref="C46:I46" si="19">C43-C44</f>
        <v>16980434.804756038</v>
      </c>
      <c r="D46" s="138">
        <f t="shared" si="19"/>
        <v>15832936.648312079</v>
      </c>
      <c r="E46" s="138">
        <f t="shared" si="19"/>
        <v>14685438.49186812</v>
      </c>
      <c r="F46" s="138">
        <f t="shared" si="19"/>
        <v>13537940.335424161</v>
      </c>
      <c r="G46" s="138">
        <f t="shared" si="19"/>
        <v>12390442.178980201</v>
      </c>
      <c r="H46" s="138">
        <f t="shared" si="19"/>
        <v>11242944.022536242</v>
      </c>
      <c r="I46" s="138">
        <f t="shared" si="19"/>
        <v>10095445.866092283</v>
      </c>
      <c r="J46" s="381"/>
      <c r="K46" s="382"/>
      <c r="L46" s="136" t="s">
        <v>200</v>
      </c>
      <c r="M46" s="136"/>
      <c r="N46" s="138">
        <f t="shared" ref="N46:T46" si="20">N43-N44</f>
        <v>15408743.017019998</v>
      </c>
      <c r="O46" s="138">
        <f t="shared" si="20"/>
        <v>13097431.564466998</v>
      </c>
      <c r="P46" s="138">
        <f t="shared" si="20"/>
        <v>11132816.829796948</v>
      </c>
      <c r="Q46" s="138">
        <f t="shared" si="20"/>
        <v>9462894.3053274062</v>
      </c>
      <c r="R46" s="138">
        <f t="shared" si="20"/>
        <v>8043460.1595282955</v>
      </c>
      <c r="S46" s="138">
        <f t="shared" si="20"/>
        <v>6836941.1355990507</v>
      </c>
      <c r="T46" s="138">
        <f t="shared" si="20"/>
        <v>5811399.9652591934</v>
      </c>
    </row>
    <row r="47" spans="1:20" hidden="1">
      <c r="A47" s="136"/>
      <c r="B47" s="136"/>
      <c r="C47" s="138"/>
      <c r="D47" s="138"/>
      <c r="E47" s="138"/>
      <c r="F47" s="138"/>
      <c r="G47" s="138"/>
      <c r="H47" s="138"/>
      <c r="I47" s="138"/>
      <c r="J47" s="381"/>
      <c r="K47" s="382"/>
      <c r="L47" s="136"/>
      <c r="M47" s="136"/>
      <c r="N47" s="138"/>
      <c r="O47" s="138"/>
      <c r="P47" s="138"/>
      <c r="Q47" s="138"/>
      <c r="R47" s="138"/>
      <c r="S47" s="138"/>
      <c r="T47" s="138"/>
    </row>
    <row r="48" spans="1:20" hidden="1">
      <c r="A48" s="137" t="s">
        <v>203</v>
      </c>
      <c r="B48" s="137"/>
      <c r="C48" s="138"/>
      <c r="D48" s="138"/>
      <c r="E48" s="138"/>
      <c r="F48" s="138"/>
      <c r="G48" s="138"/>
      <c r="H48" s="138"/>
      <c r="I48" s="138"/>
      <c r="J48" s="381"/>
      <c r="K48" s="382"/>
      <c r="L48" s="137" t="s">
        <v>203</v>
      </c>
      <c r="M48" s="137"/>
      <c r="N48" s="138"/>
      <c r="O48" s="138"/>
      <c r="P48" s="138"/>
      <c r="Q48" s="138"/>
      <c r="R48" s="138"/>
      <c r="S48" s="138"/>
      <c r="T48" s="138"/>
    </row>
    <row r="49" spans="1:20" hidden="1">
      <c r="A49" s="136" t="s">
        <v>198</v>
      </c>
      <c r="B49" s="136"/>
      <c r="C49" s="138">
        <f>'1.Project Cost and MOF old'!D7</f>
        <v>0</v>
      </c>
      <c r="D49" s="138">
        <f t="shared" ref="D49:I49" si="21">C52</f>
        <v>0</v>
      </c>
      <c r="E49" s="138">
        <f t="shared" si="21"/>
        <v>0</v>
      </c>
      <c r="F49" s="138">
        <f t="shared" si="21"/>
        <v>0</v>
      </c>
      <c r="G49" s="138">
        <f t="shared" si="21"/>
        <v>0</v>
      </c>
      <c r="H49" s="138">
        <f t="shared" si="21"/>
        <v>0</v>
      </c>
      <c r="I49" s="138">
        <f t="shared" si="21"/>
        <v>0</v>
      </c>
      <c r="J49" s="381"/>
      <c r="K49" s="382"/>
      <c r="L49" s="136" t="s">
        <v>198</v>
      </c>
      <c r="M49" s="136"/>
      <c r="N49" s="138">
        <f>C49</f>
        <v>0</v>
      </c>
      <c r="O49" s="138">
        <f t="shared" ref="O49:T49" si="22">N52</f>
        <v>0</v>
      </c>
      <c r="P49" s="138">
        <f t="shared" si="22"/>
        <v>0</v>
      </c>
      <c r="Q49" s="138">
        <f t="shared" si="22"/>
        <v>0</v>
      </c>
      <c r="R49" s="138">
        <f t="shared" si="22"/>
        <v>0</v>
      </c>
      <c r="S49" s="138">
        <f t="shared" si="22"/>
        <v>0</v>
      </c>
      <c r="T49" s="138">
        <f t="shared" si="22"/>
        <v>0</v>
      </c>
    </row>
    <row r="50" spans="1:20" hidden="1">
      <c r="A50" s="136" t="s">
        <v>17</v>
      </c>
      <c r="B50" s="136"/>
      <c r="C50" s="138">
        <f t="shared" ref="C50:I50" si="23">$C$49*$B$75</f>
        <v>0</v>
      </c>
      <c r="D50" s="138">
        <f t="shared" si="23"/>
        <v>0</v>
      </c>
      <c r="E50" s="138">
        <f t="shared" si="23"/>
        <v>0</v>
      </c>
      <c r="F50" s="138">
        <f t="shared" si="23"/>
        <v>0</v>
      </c>
      <c r="G50" s="138">
        <f t="shared" si="23"/>
        <v>0</v>
      </c>
      <c r="H50" s="138">
        <f t="shared" si="23"/>
        <v>0</v>
      </c>
      <c r="I50" s="138">
        <f t="shared" si="23"/>
        <v>0</v>
      </c>
      <c r="J50" s="381"/>
      <c r="K50" s="382"/>
      <c r="L50" s="136" t="s">
        <v>17</v>
      </c>
      <c r="M50" s="136"/>
      <c r="N50" s="138">
        <f t="shared" ref="N50:T50" si="24">N49*$C$75</f>
        <v>0</v>
      </c>
      <c r="O50" s="138">
        <f t="shared" si="24"/>
        <v>0</v>
      </c>
      <c r="P50" s="138">
        <f t="shared" si="24"/>
        <v>0</v>
      </c>
      <c r="Q50" s="138">
        <f t="shared" si="24"/>
        <v>0</v>
      </c>
      <c r="R50" s="138">
        <f t="shared" si="24"/>
        <v>0</v>
      </c>
      <c r="S50" s="138">
        <f t="shared" si="24"/>
        <v>0</v>
      </c>
      <c r="T50" s="138">
        <f t="shared" si="24"/>
        <v>0</v>
      </c>
    </row>
    <row r="51" spans="1:20" hidden="1">
      <c r="A51" s="136" t="s">
        <v>199</v>
      </c>
      <c r="B51" s="136"/>
      <c r="C51" s="138">
        <f>C50</f>
        <v>0</v>
      </c>
      <c r="D51" s="138">
        <f t="shared" ref="D51:I51" si="25">C51+D50</f>
        <v>0</v>
      </c>
      <c r="E51" s="138">
        <f t="shared" si="25"/>
        <v>0</v>
      </c>
      <c r="F51" s="138">
        <f t="shared" si="25"/>
        <v>0</v>
      </c>
      <c r="G51" s="138">
        <f t="shared" si="25"/>
        <v>0</v>
      </c>
      <c r="H51" s="138">
        <f t="shared" si="25"/>
        <v>0</v>
      </c>
      <c r="I51" s="138">
        <f t="shared" si="25"/>
        <v>0</v>
      </c>
      <c r="J51" s="381"/>
      <c r="K51" s="382"/>
      <c r="L51" s="136" t="s">
        <v>199</v>
      </c>
      <c r="M51" s="136"/>
      <c r="N51" s="138">
        <f>N50</f>
        <v>0</v>
      </c>
      <c r="O51" s="138">
        <f t="shared" ref="O51:T51" si="26">N51+O50</f>
        <v>0</v>
      </c>
      <c r="P51" s="138">
        <f t="shared" si="26"/>
        <v>0</v>
      </c>
      <c r="Q51" s="138">
        <f t="shared" si="26"/>
        <v>0</v>
      </c>
      <c r="R51" s="138">
        <f t="shared" si="26"/>
        <v>0</v>
      </c>
      <c r="S51" s="138">
        <f t="shared" si="26"/>
        <v>0</v>
      </c>
      <c r="T51" s="138">
        <f t="shared" si="26"/>
        <v>0</v>
      </c>
    </row>
    <row r="52" spans="1:20" hidden="1">
      <c r="A52" s="136" t="s">
        <v>200</v>
      </c>
      <c r="B52" s="136"/>
      <c r="C52" s="138">
        <f t="shared" ref="C52:I52" si="27">C49-C50</f>
        <v>0</v>
      </c>
      <c r="D52" s="138">
        <f t="shared" si="27"/>
        <v>0</v>
      </c>
      <c r="E52" s="138">
        <f t="shared" si="27"/>
        <v>0</v>
      </c>
      <c r="F52" s="138">
        <f t="shared" si="27"/>
        <v>0</v>
      </c>
      <c r="G52" s="138">
        <f t="shared" si="27"/>
        <v>0</v>
      </c>
      <c r="H52" s="138">
        <f t="shared" si="27"/>
        <v>0</v>
      </c>
      <c r="I52" s="138">
        <f t="shared" si="27"/>
        <v>0</v>
      </c>
      <c r="J52" s="381"/>
      <c r="K52" s="382"/>
      <c r="L52" s="136" t="s">
        <v>200</v>
      </c>
      <c r="M52" s="136"/>
      <c r="N52" s="138">
        <f t="shared" ref="N52:T52" si="28">N49-N50</f>
        <v>0</v>
      </c>
      <c r="O52" s="138">
        <f t="shared" si="28"/>
        <v>0</v>
      </c>
      <c r="P52" s="138">
        <f t="shared" si="28"/>
        <v>0</v>
      </c>
      <c r="Q52" s="138">
        <f t="shared" si="28"/>
        <v>0</v>
      </c>
      <c r="R52" s="138">
        <f t="shared" si="28"/>
        <v>0</v>
      </c>
      <c r="S52" s="138">
        <f t="shared" si="28"/>
        <v>0</v>
      </c>
      <c r="T52" s="138">
        <f t="shared" si="28"/>
        <v>0</v>
      </c>
    </row>
    <row r="53" spans="1:20" hidden="1">
      <c r="A53" s="136"/>
      <c r="B53" s="136"/>
      <c r="C53" s="138"/>
      <c r="D53" s="138"/>
      <c r="E53" s="138"/>
      <c r="F53" s="138"/>
      <c r="G53" s="138"/>
      <c r="H53" s="138"/>
      <c r="I53" s="138"/>
      <c r="J53" s="381"/>
      <c r="K53" s="382"/>
      <c r="L53" s="136"/>
      <c r="M53" s="136"/>
      <c r="N53" s="138"/>
      <c r="O53" s="138"/>
      <c r="P53" s="138"/>
      <c r="Q53" s="138"/>
      <c r="R53" s="138"/>
      <c r="S53" s="138"/>
      <c r="T53" s="138"/>
    </row>
    <row r="54" spans="1:20" hidden="1">
      <c r="A54" s="137" t="s">
        <v>160</v>
      </c>
      <c r="B54" s="137"/>
      <c r="C54" s="138"/>
      <c r="D54" s="138"/>
      <c r="E54" s="138"/>
      <c r="F54" s="138"/>
      <c r="G54" s="138"/>
      <c r="H54" s="138"/>
      <c r="I54" s="138"/>
      <c r="J54" s="381"/>
      <c r="K54" s="382"/>
      <c r="L54" s="137" t="s">
        <v>160</v>
      </c>
      <c r="M54" s="137"/>
      <c r="N54" s="138"/>
      <c r="O54" s="138"/>
      <c r="P54" s="138"/>
      <c r="Q54" s="138"/>
      <c r="R54" s="138"/>
      <c r="S54" s="138"/>
      <c r="T54" s="138"/>
    </row>
    <row r="55" spans="1:20" hidden="1">
      <c r="A55" s="136" t="s">
        <v>198</v>
      </c>
      <c r="B55" s="136"/>
      <c r="C55" s="138">
        <f>'1.Project Cost and MOF old'!D9</f>
        <v>0</v>
      </c>
      <c r="D55" s="138">
        <f t="shared" ref="D55:I55" si="29">C58</f>
        <v>0</v>
      </c>
      <c r="E55" s="138">
        <f t="shared" si="29"/>
        <v>0</v>
      </c>
      <c r="F55" s="138">
        <f t="shared" si="29"/>
        <v>0</v>
      </c>
      <c r="G55" s="138">
        <f t="shared" si="29"/>
        <v>0</v>
      </c>
      <c r="H55" s="138">
        <f t="shared" si="29"/>
        <v>0</v>
      </c>
      <c r="I55" s="138">
        <f t="shared" si="29"/>
        <v>0</v>
      </c>
      <c r="J55" s="381"/>
      <c r="K55" s="382"/>
      <c r="L55" s="136" t="s">
        <v>198</v>
      </c>
      <c r="M55" s="136"/>
      <c r="N55" s="138">
        <f>C55</f>
        <v>0</v>
      </c>
      <c r="O55" s="138">
        <f t="shared" ref="O55:T55" si="30">N58</f>
        <v>0</v>
      </c>
      <c r="P55" s="138">
        <f t="shared" si="30"/>
        <v>0</v>
      </c>
      <c r="Q55" s="138">
        <f t="shared" si="30"/>
        <v>0</v>
      </c>
      <c r="R55" s="138">
        <f t="shared" si="30"/>
        <v>0</v>
      </c>
      <c r="S55" s="138">
        <f t="shared" si="30"/>
        <v>0</v>
      </c>
      <c r="T55" s="138">
        <f t="shared" si="30"/>
        <v>0</v>
      </c>
    </row>
    <row r="56" spans="1:20" hidden="1">
      <c r="A56" s="136" t="s">
        <v>17</v>
      </c>
      <c r="B56" s="136"/>
      <c r="C56" s="138">
        <f t="shared" ref="C56:I56" si="31">$C$55*$B$77</f>
        <v>0</v>
      </c>
      <c r="D56" s="138">
        <f t="shared" si="31"/>
        <v>0</v>
      </c>
      <c r="E56" s="138">
        <f t="shared" si="31"/>
        <v>0</v>
      </c>
      <c r="F56" s="138">
        <f t="shared" si="31"/>
        <v>0</v>
      </c>
      <c r="G56" s="138">
        <f t="shared" si="31"/>
        <v>0</v>
      </c>
      <c r="H56" s="138">
        <f t="shared" si="31"/>
        <v>0</v>
      </c>
      <c r="I56" s="138">
        <f t="shared" si="31"/>
        <v>0</v>
      </c>
      <c r="J56" s="381"/>
      <c r="K56" s="382"/>
      <c r="L56" s="136" t="s">
        <v>17</v>
      </c>
      <c r="M56" s="136"/>
      <c r="N56" s="138">
        <f t="shared" ref="N56:T56" si="32">N55*$C$77</f>
        <v>0</v>
      </c>
      <c r="O56" s="138">
        <f t="shared" si="32"/>
        <v>0</v>
      </c>
      <c r="P56" s="138">
        <f t="shared" si="32"/>
        <v>0</v>
      </c>
      <c r="Q56" s="138">
        <f t="shared" si="32"/>
        <v>0</v>
      </c>
      <c r="R56" s="138">
        <f t="shared" si="32"/>
        <v>0</v>
      </c>
      <c r="S56" s="138">
        <f t="shared" si="32"/>
        <v>0</v>
      </c>
      <c r="T56" s="138">
        <f t="shared" si="32"/>
        <v>0</v>
      </c>
    </row>
    <row r="57" spans="1:20" hidden="1">
      <c r="A57" s="136" t="s">
        <v>199</v>
      </c>
      <c r="B57" s="136"/>
      <c r="C57" s="138">
        <f>C56</f>
        <v>0</v>
      </c>
      <c r="D57" s="138">
        <f t="shared" ref="D57:I57" si="33">C57+D56</f>
        <v>0</v>
      </c>
      <c r="E57" s="138">
        <f t="shared" si="33"/>
        <v>0</v>
      </c>
      <c r="F57" s="138">
        <f t="shared" si="33"/>
        <v>0</v>
      </c>
      <c r="G57" s="138">
        <f t="shared" si="33"/>
        <v>0</v>
      </c>
      <c r="H57" s="138">
        <f t="shared" si="33"/>
        <v>0</v>
      </c>
      <c r="I57" s="138">
        <f t="shared" si="33"/>
        <v>0</v>
      </c>
      <c r="J57" s="381"/>
      <c r="K57" s="382"/>
      <c r="L57" s="136" t="s">
        <v>199</v>
      </c>
      <c r="M57" s="136"/>
      <c r="N57" s="138">
        <f>N56</f>
        <v>0</v>
      </c>
      <c r="O57" s="138">
        <f t="shared" ref="O57:T57" si="34">N57+O56</f>
        <v>0</v>
      </c>
      <c r="P57" s="138">
        <f t="shared" si="34"/>
        <v>0</v>
      </c>
      <c r="Q57" s="138">
        <f t="shared" si="34"/>
        <v>0</v>
      </c>
      <c r="R57" s="138">
        <f t="shared" si="34"/>
        <v>0</v>
      </c>
      <c r="S57" s="138">
        <f t="shared" si="34"/>
        <v>0</v>
      </c>
      <c r="T57" s="138">
        <f t="shared" si="34"/>
        <v>0</v>
      </c>
    </row>
    <row r="58" spans="1:20" hidden="1">
      <c r="A58" s="136" t="s">
        <v>200</v>
      </c>
      <c r="B58" s="136"/>
      <c r="C58" s="138">
        <f t="shared" ref="C58:I58" si="35">C55-C56</f>
        <v>0</v>
      </c>
      <c r="D58" s="138">
        <f t="shared" si="35"/>
        <v>0</v>
      </c>
      <c r="E58" s="138">
        <f t="shared" si="35"/>
        <v>0</v>
      </c>
      <c r="F58" s="138">
        <f t="shared" si="35"/>
        <v>0</v>
      </c>
      <c r="G58" s="138">
        <f t="shared" si="35"/>
        <v>0</v>
      </c>
      <c r="H58" s="138">
        <f t="shared" si="35"/>
        <v>0</v>
      </c>
      <c r="I58" s="138">
        <f t="shared" si="35"/>
        <v>0</v>
      </c>
      <c r="J58" s="381"/>
      <c r="K58" s="382"/>
      <c r="L58" s="136" t="s">
        <v>200</v>
      </c>
      <c r="M58" s="136"/>
      <c r="N58" s="138">
        <f t="shared" ref="N58:T58" si="36">N55-N56</f>
        <v>0</v>
      </c>
      <c r="O58" s="138">
        <f t="shared" si="36"/>
        <v>0</v>
      </c>
      <c r="P58" s="138">
        <f t="shared" si="36"/>
        <v>0</v>
      </c>
      <c r="Q58" s="138">
        <f t="shared" si="36"/>
        <v>0</v>
      </c>
      <c r="R58" s="138">
        <f t="shared" si="36"/>
        <v>0</v>
      </c>
      <c r="S58" s="138">
        <f t="shared" si="36"/>
        <v>0</v>
      </c>
      <c r="T58" s="138">
        <f t="shared" si="36"/>
        <v>0</v>
      </c>
    </row>
    <row r="59" spans="1:20" hidden="1">
      <c r="A59" s="136"/>
      <c r="B59" s="136"/>
      <c r="C59" s="138"/>
      <c r="D59" s="138"/>
      <c r="E59" s="138"/>
      <c r="F59" s="138"/>
      <c r="G59" s="138"/>
      <c r="H59" s="138"/>
      <c r="I59" s="138"/>
      <c r="J59" s="381"/>
      <c r="K59" s="382"/>
      <c r="L59" s="136"/>
      <c r="M59" s="136"/>
      <c r="N59" s="138"/>
      <c r="O59" s="138"/>
      <c r="P59" s="138"/>
      <c r="Q59" s="138"/>
      <c r="R59" s="138"/>
      <c r="S59" s="138"/>
      <c r="T59" s="138"/>
    </row>
    <row r="60" spans="1:20" hidden="1">
      <c r="A60" s="240" t="s">
        <v>335</v>
      </c>
      <c r="B60" s="136"/>
      <c r="C60" s="138"/>
      <c r="D60" s="138"/>
      <c r="E60" s="138"/>
      <c r="F60" s="138"/>
      <c r="G60" s="138"/>
      <c r="H60" s="138"/>
      <c r="I60" s="138"/>
      <c r="J60" s="381"/>
      <c r="K60" s="382"/>
      <c r="L60" s="240" t="s">
        <v>335</v>
      </c>
      <c r="M60" s="136"/>
      <c r="N60" s="138"/>
      <c r="O60" s="138"/>
      <c r="P60" s="138"/>
      <c r="Q60" s="138"/>
      <c r="R60" s="138"/>
      <c r="S60" s="138"/>
      <c r="T60" s="138"/>
    </row>
    <row r="61" spans="1:20" hidden="1">
      <c r="A61" s="136" t="str">
        <f>A55</f>
        <v>Asset Value</v>
      </c>
      <c r="B61" s="136"/>
      <c r="C61" s="138">
        <f>'1.Project Cost and MOF old'!D8</f>
        <v>0</v>
      </c>
      <c r="D61" s="138">
        <f t="shared" ref="D61:I61" si="37">C64</f>
        <v>0</v>
      </c>
      <c r="E61" s="138">
        <f t="shared" si="37"/>
        <v>0</v>
      </c>
      <c r="F61" s="138">
        <f t="shared" si="37"/>
        <v>0</v>
      </c>
      <c r="G61" s="138">
        <f t="shared" si="37"/>
        <v>0</v>
      </c>
      <c r="H61" s="138">
        <f t="shared" si="37"/>
        <v>0</v>
      </c>
      <c r="I61" s="138">
        <f t="shared" si="37"/>
        <v>0</v>
      </c>
      <c r="J61" s="381"/>
      <c r="K61" s="382"/>
      <c r="L61" s="136" t="str">
        <f>L55</f>
        <v>Asset Value</v>
      </c>
      <c r="M61" s="136"/>
      <c r="N61" s="138">
        <f>C61</f>
        <v>0</v>
      </c>
      <c r="O61" s="138">
        <f t="shared" ref="O61:T61" si="38">N64</f>
        <v>0</v>
      </c>
      <c r="P61" s="138">
        <f t="shared" si="38"/>
        <v>0</v>
      </c>
      <c r="Q61" s="138">
        <f t="shared" si="38"/>
        <v>0</v>
      </c>
      <c r="R61" s="138">
        <f t="shared" si="38"/>
        <v>0</v>
      </c>
      <c r="S61" s="138">
        <f t="shared" si="38"/>
        <v>0</v>
      </c>
      <c r="T61" s="138">
        <f t="shared" si="38"/>
        <v>0</v>
      </c>
    </row>
    <row r="62" spans="1:20" hidden="1">
      <c r="A62" s="136" t="str">
        <f>A56</f>
        <v>Depreciation</v>
      </c>
      <c r="B62" s="136"/>
      <c r="C62" s="138">
        <f t="shared" ref="C62:I62" si="39">$C$61*$B$76</f>
        <v>0</v>
      </c>
      <c r="D62" s="138">
        <f t="shared" si="39"/>
        <v>0</v>
      </c>
      <c r="E62" s="138">
        <f t="shared" si="39"/>
        <v>0</v>
      </c>
      <c r="F62" s="138">
        <f t="shared" si="39"/>
        <v>0</v>
      </c>
      <c r="G62" s="138">
        <f t="shared" si="39"/>
        <v>0</v>
      </c>
      <c r="H62" s="138">
        <f t="shared" si="39"/>
        <v>0</v>
      </c>
      <c r="I62" s="138">
        <f t="shared" si="39"/>
        <v>0</v>
      </c>
      <c r="J62" s="381"/>
      <c r="K62" s="382"/>
      <c r="L62" s="136" t="str">
        <f>L56</f>
        <v>Depreciation</v>
      </c>
      <c r="M62" s="136"/>
      <c r="N62" s="138">
        <f t="shared" ref="N62:T62" si="40">N61*$C$76</f>
        <v>0</v>
      </c>
      <c r="O62" s="138">
        <f t="shared" si="40"/>
        <v>0</v>
      </c>
      <c r="P62" s="138">
        <f t="shared" si="40"/>
        <v>0</v>
      </c>
      <c r="Q62" s="138">
        <f t="shared" si="40"/>
        <v>0</v>
      </c>
      <c r="R62" s="138">
        <f t="shared" si="40"/>
        <v>0</v>
      </c>
      <c r="S62" s="138">
        <f t="shared" si="40"/>
        <v>0</v>
      </c>
      <c r="T62" s="138">
        <f t="shared" si="40"/>
        <v>0</v>
      </c>
    </row>
    <row r="63" spans="1:20" hidden="1">
      <c r="A63" s="136" t="str">
        <f>A57</f>
        <v>Accumulated Depreciation</v>
      </c>
      <c r="B63" s="136"/>
      <c r="C63" s="138">
        <f>C62</f>
        <v>0</v>
      </c>
      <c r="D63" s="138">
        <f t="shared" ref="D63:I63" si="41">D62+C63</f>
        <v>0</v>
      </c>
      <c r="E63" s="138">
        <f t="shared" si="41"/>
        <v>0</v>
      </c>
      <c r="F63" s="138">
        <f t="shared" si="41"/>
        <v>0</v>
      </c>
      <c r="G63" s="138">
        <f t="shared" si="41"/>
        <v>0</v>
      </c>
      <c r="H63" s="138">
        <f t="shared" si="41"/>
        <v>0</v>
      </c>
      <c r="I63" s="138">
        <f t="shared" si="41"/>
        <v>0</v>
      </c>
      <c r="J63" s="381"/>
      <c r="K63" s="382"/>
      <c r="L63" s="136" t="str">
        <f>L57</f>
        <v>Accumulated Depreciation</v>
      </c>
      <c r="M63" s="136"/>
      <c r="N63" s="138">
        <f>N62</f>
        <v>0</v>
      </c>
      <c r="O63" s="138">
        <f t="shared" ref="O63:T63" si="42">O62+N63</f>
        <v>0</v>
      </c>
      <c r="P63" s="138">
        <f t="shared" si="42"/>
        <v>0</v>
      </c>
      <c r="Q63" s="138">
        <f t="shared" si="42"/>
        <v>0</v>
      </c>
      <c r="R63" s="138">
        <f t="shared" si="42"/>
        <v>0</v>
      </c>
      <c r="S63" s="138">
        <f t="shared" si="42"/>
        <v>0</v>
      </c>
      <c r="T63" s="138">
        <f t="shared" si="42"/>
        <v>0</v>
      </c>
    </row>
    <row r="64" spans="1:20" hidden="1">
      <c r="A64" s="136" t="str">
        <f>A58</f>
        <v>Net Fixed Assets</v>
      </c>
      <c r="B64" s="136"/>
      <c r="C64" s="138">
        <f t="shared" ref="C64:I64" si="43">C61-C62</f>
        <v>0</v>
      </c>
      <c r="D64" s="138">
        <f t="shared" si="43"/>
        <v>0</v>
      </c>
      <c r="E64" s="138">
        <f t="shared" si="43"/>
        <v>0</v>
      </c>
      <c r="F64" s="138">
        <f t="shared" si="43"/>
        <v>0</v>
      </c>
      <c r="G64" s="138">
        <f t="shared" si="43"/>
        <v>0</v>
      </c>
      <c r="H64" s="138">
        <f t="shared" si="43"/>
        <v>0</v>
      </c>
      <c r="I64" s="138">
        <f t="shared" si="43"/>
        <v>0</v>
      </c>
      <c r="J64" s="381"/>
      <c r="K64" s="382"/>
      <c r="L64" s="136" t="str">
        <f>L58</f>
        <v>Net Fixed Assets</v>
      </c>
      <c r="M64" s="136"/>
      <c r="N64" s="138">
        <f t="shared" ref="N64:T64" si="44">N61-N62</f>
        <v>0</v>
      </c>
      <c r="O64" s="138">
        <f t="shared" si="44"/>
        <v>0</v>
      </c>
      <c r="P64" s="138">
        <f t="shared" si="44"/>
        <v>0</v>
      </c>
      <c r="Q64" s="138">
        <f t="shared" si="44"/>
        <v>0</v>
      </c>
      <c r="R64" s="138">
        <f t="shared" si="44"/>
        <v>0</v>
      </c>
      <c r="S64" s="138">
        <f t="shared" si="44"/>
        <v>0</v>
      </c>
      <c r="T64" s="138">
        <f t="shared" si="44"/>
        <v>0</v>
      </c>
    </row>
    <row r="65" spans="1:20" hidden="1">
      <c r="A65" s="137" t="s">
        <v>204</v>
      </c>
      <c r="B65" s="137"/>
      <c r="C65" s="132">
        <f t="shared" ref="C65:I68" si="45">C49+C43+C37+C55+C61</f>
        <v>37132432.961199999</v>
      </c>
      <c r="D65" s="132">
        <f t="shared" si="45"/>
        <v>35382492.154756039</v>
      </c>
      <c r="E65" s="132">
        <f t="shared" si="45"/>
        <v>33632551.34831208</v>
      </c>
      <c r="F65" s="132">
        <f t="shared" si="45"/>
        <v>31882610.541868124</v>
      </c>
      <c r="G65" s="132">
        <f t="shared" si="45"/>
        <v>30132669.735424165</v>
      </c>
      <c r="H65" s="132">
        <f t="shared" si="45"/>
        <v>28382728.928980205</v>
      </c>
      <c r="I65" s="132">
        <f t="shared" si="45"/>
        <v>26632788.122536246</v>
      </c>
      <c r="J65" s="381"/>
      <c r="K65" s="382"/>
      <c r="L65" s="137" t="s">
        <v>204</v>
      </c>
      <c r="M65" s="137"/>
      <c r="N65" s="132">
        <f t="shared" ref="N65:T68" si="46">N49+N43+N37+N55+N61</f>
        <v>37132432.961199999</v>
      </c>
      <c r="O65" s="132">
        <f t="shared" si="46"/>
        <v>32512793.017019998</v>
      </c>
      <c r="P65" s="132">
        <f t="shared" si="46"/>
        <v>28491076.564466998</v>
      </c>
      <c r="Q65" s="132">
        <f t="shared" si="46"/>
        <v>24987097.329796948</v>
      </c>
      <c r="R65" s="132">
        <f t="shared" si="46"/>
        <v>21931746.755327404</v>
      </c>
      <c r="S65" s="132">
        <f t="shared" si="46"/>
        <v>19265427.364528295</v>
      </c>
      <c r="T65" s="132">
        <f t="shared" si="46"/>
        <v>16936711.620099053</v>
      </c>
    </row>
    <row r="66" spans="1:20" hidden="1">
      <c r="A66" s="137" t="s">
        <v>205</v>
      </c>
      <c r="B66" s="137"/>
      <c r="C66" s="132">
        <f t="shared" si="45"/>
        <v>1749940.8064439599</v>
      </c>
      <c r="D66" s="132">
        <f t="shared" si="45"/>
        <v>1749940.8064439599</v>
      </c>
      <c r="E66" s="132">
        <f t="shared" si="45"/>
        <v>1749940.8064439599</v>
      </c>
      <c r="F66" s="132">
        <f t="shared" si="45"/>
        <v>1749940.8064439599</v>
      </c>
      <c r="G66" s="132">
        <f t="shared" si="45"/>
        <v>1749940.8064439599</v>
      </c>
      <c r="H66" s="132">
        <f t="shared" si="45"/>
        <v>1749940.8064439599</v>
      </c>
      <c r="I66" s="132">
        <f t="shared" si="45"/>
        <v>1749940.8064439599</v>
      </c>
      <c r="J66" s="381"/>
      <c r="K66" s="382"/>
      <c r="L66" s="137" t="s">
        <v>205</v>
      </c>
      <c r="M66" s="137"/>
      <c r="N66" s="132">
        <f t="shared" si="46"/>
        <v>4619639.9441799996</v>
      </c>
      <c r="O66" s="132">
        <f t="shared" si="46"/>
        <v>4021716.4525529998</v>
      </c>
      <c r="P66" s="132">
        <f t="shared" si="46"/>
        <v>3503979.2346700495</v>
      </c>
      <c r="Q66" s="132">
        <f t="shared" si="46"/>
        <v>3055350.5744695421</v>
      </c>
      <c r="R66" s="132">
        <f t="shared" si="46"/>
        <v>2666319.3907991108</v>
      </c>
      <c r="S66" s="132">
        <f t="shared" si="46"/>
        <v>2328715.7444292447</v>
      </c>
      <c r="T66" s="132">
        <f t="shared" si="46"/>
        <v>2035518.2187898578</v>
      </c>
    </row>
    <row r="67" spans="1:20" hidden="1">
      <c r="A67" s="137" t="s">
        <v>206</v>
      </c>
      <c r="B67" s="137"/>
      <c r="C67" s="132">
        <f t="shared" si="45"/>
        <v>1749940.8064439599</v>
      </c>
      <c r="D67" s="132">
        <f t="shared" si="45"/>
        <v>3499881.6128879199</v>
      </c>
      <c r="E67" s="132">
        <f t="shared" si="45"/>
        <v>5249822.4193318794</v>
      </c>
      <c r="F67" s="132">
        <f t="shared" si="45"/>
        <v>6999763.2257758398</v>
      </c>
      <c r="G67" s="132">
        <f t="shared" si="45"/>
        <v>8749704.0322197992</v>
      </c>
      <c r="H67" s="132">
        <f t="shared" si="45"/>
        <v>10499644.838663759</v>
      </c>
      <c r="I67" s="132">
        <f t="shared" si="45"/>
        <v>12249585.64510772</v>
      </c>
      <c r="J67" s="381"/>
      <c r="K67" s="382"/>
      <c r="L67" s="137" t="s">
        <v>206</v>
      </c>
      <c r="M67" s="137"/>
      <c r="N67" s="132">
        <f t="shared" si="46"/>
        <v>4619639.9441799996</v>
      </c>
      <c r="O67" s="132">
        <f t="shared" si="46"/>
        <v>8641356.396732999</v>
      </c>
      <c r="P67" s="132">
        <f t="shared" si="46"/>
        <v>12145335.631403048</v>
      </c>
      <c r="Q67" s="132">
        <f t="shared" si="46"/>
        <v>15200686.205872592</v>
      </c>
      <c r="R67" s="132">
        <f t="shared" si="46"/>
        <v>17867005.5966717</v>
      </c>
      <c r="S67" s="132">
        <f t="shared" si="46"/>
        <v>20195721.341100946</v>
      </c>
      <c r="T67" s="132">
        <f t="shared" si="46"/>
        <v>22231239.559890807</v>
      </c>
    </row>
    <row r="68" spans="1:20" hidden="1">
      <c r="A68" s="137" t="s">
        <v>200</v>
      </c>
      <c r="B68" s="137"/>
      <c r="C68" s="132">
        <f t="shared" si="45"/>
        <v>35382492.154756039</v>
      </c>
      <c r="D68" s="132">
        <f t="shared" si="45"/>
        <v>33632551.34831208</v>
      </c>
      <c r="E68" s="132">
        <f t="shared" si="45"/>
        <v>31882610.541868124</v>
      </c>
      <c r="F68" s="132">
        <f t="shared" si="45"/>
        <v>30132669.735424165</v>
      </c>
      <c r="G68" s="132">
        <f t="shared" si="45"/>
        <v>28382728.928980205</v>
      </c>
      <c r="H68" s="132">
        <f t="shared" si="45"/>
        <v>26632788.122536246</v>
      </c>
      <c r="I68" s="132">
        <f t="shared" si="45"/>
        <v>24882847.316092286</v>
      </c>
      <c r="J68" s="381"/>
      <c r="K68" s="382"/>
      <c r="L68" s="137" t="s">
        <v>200</v>
      </c>
      <c r="M68" s="137"/>
      <c r="N68" s="132">
        <f t="shared" si="46"/>
        <v>32512793.017019998</v>
      </c>
      <c r="O68" s="132">
        <f t="shared" si="46"/>
        <v>28491076.564466998</v>
      </c>
      <c r="P68" s="132">
        <f t="shared" si="46"/>
        <v>24987097.329796948</v>
      </c>
      <c r="Q68" s="132">
        <f t="shared" si="46"/>
        <v>21931746.755327404</v>
      </c>
      <c r="R68" s="132">
        <f t="shared" si="46"/>
        <v>19265427.364528295</v>
      </c>
      <c r="S68" s="132">
        <f t="shared" si="46"/>
        <v>16936711.620099053</v>
      </c>
      <c r="T68" s="132">
        <f t="shared" si="46"/>
        <v>14901193.401309192</v>
      </c>
    </row>
    <row r="69" spans="1:20" hidden="1">
      <c r="A69" s="140"/>
      <c r="B69" s="140"/>
      <c r="C69" s="141"/>
      <c r="D69" s="141"/>
      <c r="E69" s="141"/>
      <c r="F69" s="141"/>
      <c r="G69" s="141"/>
      <c r="H69" s="141"/>
      <c r="I69" s="141"/>
      <c r="J69" s="68"/>
      <c r="K69" s="68"/>
    </row>
    <row r="70" spans="1:20" hidden="1">
      <c r="A70" s="68"/>
      <c r="B70" s="68"/>
      <c r="C70" s="68"/>
      <c r="D70" s="68"/>
      <c r="E70" s="68"/>
      <c r="F70" s="68"/>
      <c r="G70" s="68"/>
      <c r="H70" s="68"/>
      <c r="I70" s="68"/>
      <c r="J70" s="68"/>
      <c r="K70" s="68"/>
    </row>
    <row r="71" spans="1:20" ht="29.25" hidden="1">
      <c r="A71" s="142" t="s">
        <v>207</v>
      </c>
      <c r="B71" s="143" t="s">
        <v>208</v>
      </c>
      <c r="C71" s="144" t="s">
        <v>209</v>
      </c>
      <c r="D71" s="68"/>
      <c r="E71" s="68"/>
      <c r="F71" s="68"/>
      <c r="G71" s="68"/>
      <c r="H71" s="68"/>
      <c r="I71" s="68"/>
      <c r="J71" s="68"/>
      <c r="K71" s="68"/>
    </row>
    <row r="72" spans="1:20" ht="29.25" hidden="1">
      <c r="A72" s="145" t="s">
        <v>210</v>
      </c>
      <c r="B72" s="143" t="s">
        <v>211</v>
      </c>
      <c r="C72" s="144" t="s">
        <v>212</v>
      </c>
      <c r="D72" s="68"/>
      <c r="E72" s="68"/>
      <c r="F72" s="68"/>
      <c r="G72" s="68"/>
      <c r="H72" s="68"/>
      <c r="I72" s="68"/>
      <c r="J72" s="68"/>
      <c r="K72" s="68"/>
    </row>
    <row r="73" spans="1:20" hidden="1">
      <c r="A73" s="145" t="s">
        <v>148</v>
      </c>
      <c r="B73" s="146">
        <v>0</v>
      </c>
      <c r="C73" s="146">
        <v>0</v>
      </c>
      <c r="D73" s="68"/>
      <c r="E73" s="68"/>
      <c r="F73" s="68"/>
      <c r="G73" s="68"/>
      <c r="H73" s="68"/>
      <c r="I73" s="68"/>
      <c r="J73" s="68"/>
    </row>
    <row r="74" spans="1:20" hidden="1">
      <c r="A74" s="147" t="s">
        <v>201</v>
      </c>
      <c r="B74" s="146">
        <v>3.1699999999999999E-2</v>
      </c>
      <c r="C74" s="146">
        <v>0.1</v>
      </c>
      <c r="D74" s="148"/>
      <c r="E74" s="68"/>
      <c r="F74" s="68"/>
      <c r="G74" s="68"/>
      <c r="H74" s="68"/>
      <c r="I74" s="68"/>
      <c r="J74" s="68"/>
    </row>
    <row r="75" spans="1:20" hidden="1">
      <c r="A75" s="147" t="s">
        <v>203</v>
      </c>
      <c r="B75" s="149">
        <v>0.1</v>
      </c>
      <c r="C75" s="146">
        <v>0.1</v>
      </c>
      <c r="D75" s="68"/>
      <c r="E75" s="68"/>
      <c r="F75" s="68"/>
      <c r="G75" s="68"/>
      <c r="H75" s="68"/>
      <c r="I75" s="68"/>
      <c r="J75" s="68"/>
    </row>
    <row r="76" spans="1:20" hidden="1">
      <c r="A76" s="68" t="s">
        <v>213</v>
      </c>
      <c r="B76" s="149">
        <v>0.1</v>
      </c>
      <c r="C76" s="149">
        <v>0.4</v>
      </c>
      <c r="D76" s="68"/>
      <c r="E76" s="68"/>
      <c r="F76" s="68"/>
      <c r="G76" s="68"/>
      <c r="H76" s="68"/>
      <c r="I76" s="68"/>
      <c r="J76" s="68"/>
    </row>
    <row r="77" spans="1:20" hidden="1">
      <c r="A77" s="68" t="s">
        <v>278</v>
      </c>
      <c r="B77" s="149">
        <v>0.1188</v>
      </c>
      <c r="C77" s="149">
        <v>0.15</v>
      </c>
      <c r="D77" s="68"/>
      <c r="E77" s="68"/>
      <c r="F77" s="68"/>
      <c r="G77" s="68"/>
      <c r="H77" s="68"/>
      <c r="I77" s="68"/>
      <c r="J77" s="68"/>
    </row>
    <row r="78" spans="1:20" hidden="1">
      <c r="A78" s="147" t="s">
        <v>214</v>
      </c>
      <c r="B78" s="149">
        <v>6.3299999999999995E-2</v>
      </c>
      <c r="C78" s="149">
        <v>0.15</v>
      </c>
      <c r="D78" s="68"/>
      <c r="E78" s="68"/>
      <c r="F78" s="68"/>
      <c r="G78" s="68"/>
      <c r="H78" s="68"/>
      <c r="I78" s="68"/>
      <c r="J78" s="68"/>
    </row>
    <row r="79" spans="1:20" ht="29.25" hidden="1">
      <c r="A79" s="145" t="s">
        <v>207</v>
      </c>
      <c r="B79" s="146"/>
      <c r="C79" s="148"/>
      <c r="D79" s="68"/>
      <c r="E79" s="68"/>
      <c r="F79" s="68"/>
      <c r="G79" s="68"/>
      <c r="H79" s="68"/>
      <c r="I79" s="68"/>
      <c r="J79" s="68"/>
    </row>
    <row r="80" spans="1:20" hidden="1">
      <c r="A80" s="147" t="s">
        <v>215</v>
      </c>
      <c r="B80" s="148">
        <v>0.2</v>
      </c>
      <c r="C80" s="148">
        <v>0.2</v>
      </c>
      <c r="D80" s="68"/>
      <c r="E80" s="68"/>
      <c r="F80" s="68"/>
      <c r="G80" s="68"/>
      <c r="H80" s="68"/>
      <c r="I80" s="68"/>
      <c r="J80" s="68"/>
    </row>
    <row r="81" spans="1:12" hidden="1">
      <c r="A81" s="68"/>
      <c r="B81" s="68"/>
      <c r="C81" s="68"/>
      <c r="D81" s="68"/>
      <c r="E81" s="68"/>
      <c r="F81" s="68"/>
      <c r="G81" s="68"/>
      <c r="H81" s="68"/>
      <c r="I81" s="68"/>
      <c r="J81" s="68"/>
    </row>
    <row r="82" spans="1:12" hidden="1">
      <c r="A82" s="68"/>
      <c r="B82" s="68"/>
      <c r="C82" s="68"/>
      <c r="D82" s="68"/>
      <c r="E82" s="150"/>
      <c r="F82" s="68"/>
      <c r="G82" s="68"/>
      <c r="H82" s="68"/>
      <c r="I82" s="68"/>
      <c r="J82" s="68"/>
    </row>
    <row r="83" spans="1:12" s="24" customFormat="1" ht="18.75" hidden="1">
      <c r="A83" s="724" t="s">
        <v>552</v>
      </c>
      <c r="B83" s="724"/>
      <c r="C83" s="724"/>
      <c r="D83" s="724"/>
      <c r="E83" s="724"/>
      <c r="F83" s="724"/>
      <c r="G83" s="724"/>
      <c r="H83" s="724"/>
      <c r="I83" s="724"/>
      <c r="J83" s="724"/>
    </row>
    <row r="84" spans="1:12" s="24" customFormat="1" hidden="1">
      <c r="A84" s="25"/>
      <c r="B84" s="25"/>
    </row>
    <row r="85" spans="1:12" s="24" customFormat="1" hidden="1">
      <c r="A85" s="124" t="s">
        <v>0</v>
      </c>
      <c r="B85" s="125" t="s">
        <v>345</v>
      </c>
      <c r="C85" s="126" t="s">
        <v>2</v>
      </c>
      <c r="D85" s="126" t="s">
        <v>3</v>
      </c>
      <c r="E85" s="126" t="s">
        <v>4</v>
      </c>
      <c r="F85" s="126" t="s">
        <v>5</v>
      </c>
      <c r="G85" s="126" t="s">
        <v>6</v>
      </c>
      <c r="H85" s="126" t="s">
        <v>170</v>
      </c>
      <c r="I85" s="126" t="s">
        <v>169</v>
      </c>
      <c r="J85" s="28"/>
      <c r="K85" s="28"/>
      <c r="L85" s="28"/>
    </row>
    <row r="86" spans="1:12" s="24" customFormat="1" hidden="1">
      <c r="A86" s="127" t="s">
        <v>256</v>
      </c>
      <c r="B86" s="128">
        <v>5</v>
      </c>
      <c r="C86" s="129">
        <f>'1.Project Cost and MOF old'!$D$10/5</f>
        <v>376640.6</v>
      </c>
      <c r="D86" s="129">
        <f>'1.Project Cost and MOF old'!$D$10/5</f>
        <v>376640.6</v>
      </c>
      <c r="E86" s="129">
        <f>'1.Project Cost and MOF old'!$D$10/5</f>
        <v>376640.6</v>
      </c>
      <c r="F86" s="129">
        <f>'1.Project Cost and MOF old'!$D$10/5</f>
        <v>376640.6</v>
      </c>
      <c r="G86" s="129">
        <f>'1.Project Cost and MOF old'!$D$10/5</f>
        <v>376640.6</v>
      </c>
      <c r="H86" s="129">
        <v>0</v>
      </c>
      <c r="I86" s="129">
        <v>0</v>
      </c>
      <c r="J86" s="28"/>
      <c r="K86" s="28"/>
      <c r="L86" s="28"/>
    </row>
    <row r="87" spans="1:12" s="24" customFormat="1" hidden="1">
      <c r="A87" s="130" t="s">
        <v>346</v>
      </c>
      <c r="B87" s="131"/>
      <c r="C87" s="132">
        <f t="shared" ref="C87:I87" si="47">SUM(C85:C86)</f>
        <v>376640.6</v>
      </c>
      <c r="D87" s="132">
        <f t="shared" si="47"/>
        <v>376640.6</v>
      </c>
      <c r="E87" s="132">
        <f t="shared" si="47"/>
        <v>376640.6</v>
      </c>
      <c r="F87" s="132">
        <f t="shared" si="47"/>
        <v>376640.6</v>
      </c>
      <c r="G87" s="132">
        <f t="shared" si="47"/>
        <v>376640.6</v>
      </c>
      <c r="H87" s="132">
        <f t="shared" si="47"/>
        <v>0</v>
      </c>
      <c r="I87" s="132">
        <f t="shared" si="47"/>
        <v>0</v>
      </c>
      <c r="J87" s="50"/>
      <c r="K87" s="50"/>
      <c r="L87" s="50"/>
    </row>
    <row r="88" spans="1:12" s="24" customFormat="1" hidden="1">
      <c r="C88" s="28"/>
      <c r="D88" s="28"/>
      <c r="E88" s="28"/>
      <c r="F88" s="28"/>
      <c r="G88" s="28"/>
      <c r="H88" s="28"/>
      <c r="I88" s="28"/>
      <c r="J88" s="28"/>
      <c r="K88" s="28"/>
      <c r="L88" s="28"/>
    </row>
    <row r="89" spans="1:12" hidden="1"/>
    <row r="90" spans="1:12" hidden="1"/>
    <row r="91" spans="1:12">
      <c r="A91" s="23"/>
      <c r="B91" s="24"/>
      <c r="C91" s="24"/>
      <c r="D91" s="24"/>
      <c r="E91" s="24"/>
      <c r="F91" s="24"/>
      <c r="G91" s="24"/>
      <c r="H91" s="24"/>
      <c r="I91" s="24"/>
      <c r="J91" s="24"/>
      <c r="K91" s="24"/>
    </row>
    <row r="92" spans="1:12">
      <c r="A92" s="23"/>
      <c r="B92" s="24"/>
      <c r="C92" s="24"/>
      <c r="D92" s="24"/>
      <c r="E92" s="24"/>
      <c r="F92" s="24"/>
      <c r="G92" s="24"/>
      <c r="H92" s="24"/>
      <c r="I92" s="24"/>
      <c r="J92" s="24"/>
      <c r="K92" s="24"/>
    </row>
    <row r="93" spans="1:12">
      <c r="A93" s="23"/>
      <c r="B93" s="24"/>
      <c r="C93" s="24"/>
      <c r="D93" s="24"/>
      <c r="E93" s="24"/>
      <c r="F93" s="24"/>
      <c r="G93" s="24"/>
      <c r="H93" s="24"/>
      <c r="I93" s="24"/>
      <c r="J93" s="24"/>
      <c r="K93" s="24"/>
    </row>
    <row r="94" spans="1:12" ht="18.75">
      <c r="A94" s="1131" t="s">
        <v>1982</v>
      </c>
      <c r="B94" s="1131"/>
      <c r="C94" s="1131"/>
      <c r="D94" s="1131"/>
      <c r="E94" s="1131"/>
      <c r="F94" s="1131"/>
      <c r="G94" s="1131"/>
      <c r="H94" s="1131"/>
      <c r="I94" s="121"/>
      <c r="J94" s="121"/>
      <c r="K94" s="121"/>
    </row>
    <row r="95" spans="1:12">
      <c r="A95" s="25"/>
      <c r="B95" s="24"/>
      <c r="C95" s="24"/>
      <c r="D95" s="24"/>
      <c r="E95" s="24"/>
      <c r="F95" s="24"/>
      <c r="G95" s="24"/>
      <c r="H95" s="24"/>
      <c r="I95" s="24"/>
      <c r="J95" s="24"/>
      <c r="K95" s="24"/>
    </row>
    <row r="96" spans="1:12">
      <c r="A96" s="119" t="s">
        <v>0</v>
      </c>
      <c r="B96" s="91" t="s">
        <v>2</v>
      </c>
      <c r="C96" s="91" t="s">
        <v>3</v>
      </c>
      <c r="D96" s="91" t="s">
        <v>4</v>
      </c>
      <c r="E96" s="91" t="s">
        <v>5</v>
      </c>
      <c r="F96" s="91" t="s">
        <v>6</v>
      </c>
      <c r="G96" s="91" t="s">
        <v>170</v>
      </c>
      <c r="H96" s="91" t="s">
        <v>169</v>
      </c>
      <c r="I96" s="20"/>
      <c r="J96" s="20"/>
      <c r="K96" s="20"/>
    </row>
    <row r="97" spans="1:11">
      <c r="A97" s="64" t="s">
        <v>228</v>
      </c>
      <c r="B97" s="122">
        <f>'6.Cons Profit &amp; Loss'!B54</f>
        <v>3861714.7379363133</v>
      </c>
      <c r="C97" s="122">
        <f>'6.Cons Profit &amp; Loss'!C54</f>
        <v>5115919.5969271436</v>
      </c>
      <c r="D97" s="122">
        <f>'6.Cons Profit &amp; Loss'!D54</f>
        <v>6867317.7889222149</v>
      </c>
      <c r="E97" s="122">
        <f>'6.Cons Profit &amp; Loss'!E54</f>
        <v>8732946.423290737</v>
      </c>
      <c r="F97" s="122">
        <f>'6.Cons Profit &amp; Loss'!F54</f>
        <v>10823097.788744284</v>
      </c>
      <c r="G97" s="122">
        <f>'6.Cons Profit &amp; Loss'!G54</f>
        <v>13384886.506598625</v>
      </c>
      <c r="H97" s="122">
        <f>'6.Cons Profit &amp; Loss'!H54</f>
        <v>15762423.63198309</v>
      </c>
      <c r="I97" s="27"/>
      <c r="J97" s="27"/>
      <c r="K97" s="27"/>
    </row>
    <row r="98" spans="1:11">
      <c r="A98" s="64" t="s">
        <v>229</v>
      </c>
      <c r="B98" s="122">
        <f>'6.Cons Profit &amp; Loss'!B47</f>
        <v>1749940.8064439599</v>
      </c>
      <c r="C98" s="122">
        <f>'6.Cons Profit &amp; Loss'!C47</f>
        <v>1749940.8064439599</v>
      </c>
      <c r="D98" s="122">
        <f>'6.Cons Profit &amp; Loss'!D47</f>
        <v>1749940.8064439599</v>
      </c>
      <c r="E98" s="122">
        <f>'6.Cons Profit &amp; Loss'!E47</f>
        <v>1749940.8064439599</v>
      </c>
      <c r="F98" s="122">
        <f>'6.Cons Profit &amp; Loss'!F47</f>
        <v>1749940.8064439599</v>
      </c>
      <c r="G98" s="122">
        <f>'6.Cons Profit &amp; Loss'!G47</f>
        <v>1749940.8064439599</v>
      </c>
      <c r="H98" s="122">
        <f>'6.Cons Profit &amp; Loss'!H47</f>
        <v>1749940.8064439599</v>
      </c>
      <c r="I98" s="27"/>
      <c r="J98" s="27"/>
      <c r="K98" s="27"/>
    </row>
    <row r="99" spans="1:11">
      <c r="A99" s="64" t="s">
        <v>230</v>
      </c>
      <c r="B99" s="122">
        <f>'3.Other Exp &amp; Taxes (3)'!N66</f>
        <v>4619639.9441799996</v>
      </c>
      <c r="C99" s="122">
        <f>'3.Other Exp &amp; Taxes (3)'!O66</f>
        <v>4021716.4525529998</v>
      </c>
      <c r="D99" s="122">
        <f>'3.Other Exp &amp; Taxes (3)'!P66</f>
        <v>3503979.2346700495</v>
      </c>
      <c r="E99" s="122">
        <f>'3.Other Exp &amp; Taxes (3)'!Q66</f>
        <v>3055350.5744695421</v>
      </c>
      <c r="F99" s="122">
        <f>'3.Other Exp &amp; Taxes (3)'!R66</f>
        <v>2666319.3907991108</v>
      </c>
      <c r="G99" s="122">
        <f>'3.Other Exp &amp; Taxes (3)'!S66</f>
        <v>2328715.7444292447</v>
      </c>
      <c r="H99" s="122">
        <f>'3.Other Exp &amp; Taxes (3)'!T66</f>
        <v>2035518.2187898578</v>
      </c>
      <c r="I99" s="27"/>
      <c r="J99" s="27"/>
      <c r="K99" s="27"/>
    </row>
    <row r="100" spans="1:11">
      <c r="A100" s="64" t="s">
        <v>291</v>
      </c>
      <c r="B100" s="122">
        <f t="shared" ref="B100:H100" si="48">B97+B98-B99</f>
        <v>992015.60020027403</v>
      </c>
      <c r="C100" s="122">
        <f t="shared" si="48"/>
        <v>2844143.9508181033</v>
      </c>
      <c r="D100" s="122">
        <f t="shared" si="48"/>
        <v>5113279.3606961248</v>
      </c>
      <c r="E100" s="122">
        <f t="shared" si="48"/>
        <v>7427536.6552651543</v>
      </c>
      <c r="F100" s="122">
        <f t="shared" si="48"/>
        <v>9906719.2043891326</v>
      </c>
      <c r="G100" s="122">
        <f t="shared" si="48"/>
        <v>12806111.568613339</v>
      </c>
      <c r="H100" s="122">
        <f t="shared" si="48"/>
        <v>15476846.219637193</v>
      </c>
      <c r="I100" s="27"/>
      <c r="J100" s="27"/>
      <c r="K100" s="27"/>
    </row>
    <row r="101" spans="1:11">
      <c r="A101" s="65" t="s">
        <v>231</v>
      </c>
      <c r="B101" s="123">
        <f>B100*$B$104</f>
        <v>257924.05605207125</v>
      </c>
      <c r="C101" s="123">
        <f t="shared" ref="C101:H101" si="49">C100*$B$104</f>
        <v>739477.42721270688</v>
      </c>
      <c r="D101" s="123">
        <f t="shared" si="49"/>
        <v>1329452.6337809926</v>
      </c>
      <c r="E101" s="123">
        <f t="shared" si="49"/>
        <v>1931159.5303689402</v>
      </c>
      <c r="F101" s="123">
        <f t="shared" si="49"/>
        <v>2575746.9931411748</v>
      </c>
      <c r="G101" s="123">
        <f t="shared" si="49"/>
        <v>3329589.0078394683</v>
      </c>
      <c r="H101" s="123">
        <f t="shared" si="49"/>
        <v>4023980.0171056702</v>
      </c>
      <c r="I101" s="27"/>
      <c r="J101" s="27"/>
      <c r="K101" s="27"/>
    </row>
    <row r="102" spans="1:11">
      <c r="A102" s="26"/>
      <c r="B102" s="24"/>
      <c r="C102" s="24"/>
      <c r="D102" s="24"/>
      <c r="E102" s="24"/>
      <c r="F102" s="24"/>
      <c r="G102" s="24"/>
      <c r="H102" s="24"/>
      <c r="I102" s="24"/>
      <c r="J102" s="24"/>
      <c r="K102" s="24"/>
    </row>
    <row r="103" spans="1:11">
      <c r="A103" s="26"/>
      <c r="B103" s="28"/>
      <c r="C103" s="28"/>
      <c r="D103" s="28"/>
      <c r="E103" s="28"/>
      <c r="F103" s="28"/>
      <c r="G103" s="28"/>
      <c r="H103" s="28"/>
      <c r="I103" s="28"/>
      <c r="J103" s="28"/>
      <c r="K103" s="28"/>
    </row>
    <row r="104" spans="1:11">
      <c r="A104" s="29" t="s">
        <v>394</v>
      </c>
      <c r="B104" s="206">
        <v>0.26</v>
      </c>
      <c r="C104" s="28"/>
      <c r="D104" s="28"/>
      <c r="E104" s="28"/>
      <c r="F104" s="28"/>
      <c r="G104" s="28"/>
      <c r="H104" s="28"/>
      <c r="I104" s="28"/>
      <c r="J104" s="28"/>
      <c r="K104" s="28"/>
    </row>
    <row r="105" spans="1:11">
      <c r="A105" s="24"/>
      <c r="B105" s="24"/>
      <c r="C105" s="24"/>
      <c r="D105" s="24"/>
      <c r="E105" s="24"/>
      <c r="F105" s="24"/>
      <c r="G105" s="24"/>
      <c r="H105" s="24"/>
      <c r="I105" s="24"/>
      <c r="J105" s="24"/>
      <c r="K105" s="24"/>
    </row>
    <row r="106" spans="1:11" ht="29.1" customHeight="1">
      <c r="A106" s="1127" t="s">
        <v>426</v>
      </c>
      <c r="B106" s="1127"/>
      <c r="C106" s="1127"/>
      <c r="D106" s="1127"/>
      <c r="E106" s="1127"/>
      <c r="F106" s="1127"/>
      <c r="G106" s="1127"/>
      <c r="H106" s="1127"/>
      <c r="I106" s="22"/>
      <c r="J106" s="22"/>
      <c r="K106" s="22"/>
    </row>
  </sheetData>
  <mergeCells count="7">
    <mergeCell ref="A106:H106"/>
    <mergeCell ref="A2:K2"/>
    <mergeCell ref="A28:O28"/>
    <mergeCell ref="A29:I29"/>
    <mergeCell ref="C31:I31"/>
    <mergeCell ref="A83:J83"/>
    <mergeCell ref="A94:H94"/>
  </mergeCells>
  <pageMargins left="0.7" right="0.7" top="1" bottom="0.75" header="0.3" footer="0.3"/>
  <pageSetup paperSize="9" scale="72" orientation="landscape" r:id="rId1"/>
  <rowBreaks count="2" manualBreakCount="2">
    <brk id="27" max="21" man="1"/>
    <brk id="69" max="21" man="1"/>
  </rowBreaks>
  <colBreaks count="1" manualBreakCount="1">
    <brk id="11" max="10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0"/>
  <sheetViews>
    <sheetView view="pageBreakPreview" topLeftCell="A56" zoomScale="80" zoomScaleSheetLayoutView="80" workbookViewId="0">
      <selection activeCell="A5" sqref="A5:H56"/>
    </sheetView>
  </sheetViews>
  <sheetFormatPr defaultRowHeight="15"/>
  <cols>
    <col min="1" max="1" width="40.5703125" bestFit="1" customWidth="1"/>
    <col min="2" max="5" width="13.42578125" bestFit="1" customWidth="1"/>
    <col min="6" max="6" width="13.140625" bestFit="1" customWidth="1"/>
    <col min="7" max="7" width="15.140625" customWidth="1"/>
    <col min="8" max="8" width="14.5703125" customWidth="1"/>
    <col min="9" max="9" width="8.5703125" customWidth="1"/>
    <col min="10" max="10" width="13" bestFit="1" customWidth="1"/>
    <col min="11" max="11" width="9.5703125" bestFit="1" customWidth="1"/>
  </cols>
  <sheetData>
    <row r="2" spans="1:8" ht="18.75">
      <c r="A2" s="724" t="s">
        <v>555</v>
      </c>
      <c r="B2" s="724"/>
      <c r="C2" s="724"/>
      <c r="D2" s="724"/>
      <c r="E2" s="724"/>
      <c r="F2" s="724"/>
      <c r="G2" s="724"/>
      <c r="H2" s="724"/>
    </row>
    <row r="4" spans="1:8">
      <c r="B4" s="4"/>
      <c r="C4" s="4"/>
      <c r="D4" s="4"/>
      <c r="E4" s="4"/>
      <c r="F4" s="4"/>
    </row>
    <row r="5" spans="1:8">
      <c r="A5" s="119" t="s">
        <v>0</v>
      </c>
      <c r="B5" s="91" t="s">
        <v>2</v>
      </c>
      <c r="C5" s="91" t="s">
        <v>3</v>
      </c>
      <c r="D5" s="91" t="s">
        <v>4</v>
      </c>
      <c r="E5" s="91" t="s">
        <v>5</v>
      </c>
      <c r="F5" s="91" t="s">
        <v>6</v>
      </c>
      <c r="G5" s="91" t="s">
        <v>170</v>
      </c>
      <c r="H5" s="91" t="s">
        <v>169</v>
      </c>
    </row>
    <row r="6" spans="1:8">
      <c r="A6" s="71" t="s">
        <v>126</v>
      </c>
      <c r="B6" s="69"/>
      <c r="C6" s="69"/>
      <c r="D6" s="69"/>
      <c r="E6" s="69"/>
      <c r="F6" s="69"/>
      <c r="G6" s="69"/>
      <c r="H6" s="69"/>
    </row>
    <row r="7" spans="1:8">
      <c r="A7" s="69"/>
      <c r="B7" s="69"/>
      <c r="C7" s="69"/>
      <c r="D7" s="69"/>
      <c r="E7" s="69"/>
      <c r="F7" s="69"/>
      <c r="G7" s="69"/>
      <c r="H7" s="69"/>
    </row>
    <row r="8" spans="1:8">
      <c r="A8" s="69"/>
      <c r="B8" s="70"/>
      <c r="C8" s="70"/>
      <c r="D8" s="70"/>
      <c r="E8" s="70"/>
      <c r="F8" s="70"/>
      <c r="G8" s="70"/>
      <c r="H8" s="70"/>
    </row>
    <row r="9" spans="1:8">
      <c r="A9" s="69" t="s">
        <v>2054</v>
      </c>
      <c r="B9" s="70">
        <f>'12.Facility 1 Dal Mill'!D151</f>
        <v>52243811.117316008</v>
      </c>
      <c r="C9" s="70">
        <f>'12.Facility 1 Dal Mill'!E151</f>
        <v>62440755.968408599</v>
      </c>
      <c r="D9" s="70">
        <f>'12.Facility 1 Dal Mill'!F151</f>
        <v>71543085.125943542</v>
      </c>
      <c r="E9" s="70">
        <f>'12.Facility 1 Dal Mill'!G151</f>
        <v>81399545.309310943</v>
      </c>
      <c r="F9" s="70">
        <f>'12.Facility 1 Dal Mill'!H151</f>
        <v>92062793.798200205</v>
      </c>
      <c r="G9" s="70">
        <f>'12.Facility 1 Dal Mill'!I151</f>
        <v>103588868.27270517</v>
      </c>
      <c r="H9" s="70">
        <f>'12.Facility 1 Dal Mill'!J151</f>
        <v>116037393.21016508</v>
      </c>
    </row>
    <row r="10" spans="1:8">
      <c r="A10" s="69" t="s">
        <v>2096</v>
      </c>
      <c r="B10" s="70">
        <f>'13.Facility 2 - Besan'!D221</f>
        <v>5473757.6428499995</v>
      </c>
      <c r="C10" s="70">
        <f>'13.Facility 2 - Besan'!E221</f>
        <v>5950121.4271500744</v>
      </c>
      <c r="D10" s="70">
        <f>'13.Facility 2 - Besan'!F221</f>
        <v>6788029.5218665898</v>
      </c>
      <c r="E10" s="70">
        <f>'13.Facility 2 - Besan'!G221</f>
        <v>7723534.6993910624</v>
      </c>
      <c r="F10" s="70">
        <f>'13.Facility 2 - Besan'!H221</f>
        <v>8735620.3208633158</v>
      </c>
      <c r="G10" s="70">
        <f>'13.Facility 2 - Besan'!I221</f>
        <v>9829605.6677343119</v>
      </c>
      <c r="H10" s="70">
        <f>'13.Facility 2 - Besan'!J221</f>
        <v>11011150.498490252</v>
      </c>
    </row>
    <row r="11" spans="1:8">
      <c r="A11" s="69" t="s">
        <v>2000</v>
      </c>
      <c r="B11" s="70">
        <f>'14. Facility 3 Warehouse'!D23</f>
        <v>1152000</v>
      </c>
      <c r="C11" s="70">
        <f>'14. Facility 3 Warehouse'!E23</f>
        <v>1285200.0000000002</v>
      </c>
      <c r="D11" s="70">
        <f>'14. Facility 3 Warehouse'!F23</f>
        <v>1428840.0000000002</v>
      </c>
      <c r="E11" s="70">
        <f>'14. Facility 3 Warehouse'!G23</f>
        <v>1583631.0000000007</v>
      </c>
      <c r="F11" s="70">
        <f>'14. Facility 3 Warehouse'!H23</f>
        <v>1750329.0000000009</v>
      </c>
      <c r="G11" s="70">
        <f>'14. Facility 3 Warehouse'!I23</f>
        <v>1837845.4500000011</v>
      </c>
      <c r="H11" s="70">
        <f>'14. Facility 3 Warehouse'!J23</f>
        <v>1929737.7225000013</v>
      </c>
    </row>
    <row r="12" spans="1:8" hidden="1">
      <c r="A12" s="69" t="s">
        <v>2024</v>
      </c>
      <c r="B12" s="70">
        <f>'15. Facility 4 Custom Hiring'!F39</f>
        <v>0</v>
      </c>
      <c r="C12" s="70">
        <f>'15. Facility 4 Custom Hiring'!G39</f>
        <v>0</v>
      </c>
      <c r="D12" s="70">
        <f>'15. Facility 4 Custom Hiring'!H39</f>
        <v>0</v>
      </c>
      <c r="E12" s="70">
        <f>'15. Facility 4 Custom Hiring'!I39</f>
        <v>0</v>
      </c>
      <c r="F12" s="70">
        <f>'15. Facility 4 Custom Hiring'!J39</f>
        <v>0</v>
      </c>
      <c r="G12" s="70">
        <f>'15. Facility 4 Custom Hiring'!K39</f>
        <v>0</v>
      </c>
      <c r="H12" s="70">
        <f>'15. Facility 4 Custom Hiring'!L39</f>
        <v>0</v>
      </c>
    </row>
    <row r="13" spans="1:8" hidden="1">
      <c r="A13" s="69" t="s">
        <v>509</v>
      </c>
      <c r="B13" s="70">
        <f>'16.Facility 5 Agri Input'!D191</f>
        <v>0</v>
      </c>
      <c r="C13" s="70">
        <f>'16.Facility 5 Agri Input'!E191</f>
        <v>0</v>
      </c>
      <c r="D13" s="70">
        <f>'16.Facility 5 Agri Input'!F191</f>
        <v>0</v>
      </c>
      <c r="E13" s="70">
        <f>'16.Facility 5 Agri Input'!G191</f>
        <v>0</v>
      </c>
      <c r="F13" s="70">
        <f>'16.Facility 5 Agri Input'!H191</f>
        <v>0</v>
      </c>
      <c r="G13" s="70">
        <f>'16.Facility 5 Agri Input'!I191</f>
        <v>0</v>
      </c>
      <c r="H13" s="70">
        <f>'16.Facility 5 Agri Input'!J191</f>
        <v>0</v>
      </c>
    </row>
    <row r="14" spans="1:8" hidden="1">
      <c r="A14" s="69" t="s">
        <v>1980</v>
      </c>
      <c r="B14" s="70">
        <f>+'17.Facility 6 Horti Processing '!D239*0</f>
        <v>0</v>
      </c>
      <c r="C14" s="70">
        <f>+'17.Facility 6 Horti Processing '!E239*0</f>
        <v>0</v>
      </c>
      <c r="D14" s="70">
        <f>+'17.Facility 6 Horti Processing '!F239*0</f>
        <v>0</v>
      </c>
      <c r="E14" s="70">
        <f>+'17.Facility 6 Horti Processing '!G239*0</f>
        <v>0</v>
      </c>
      <c r="F14" s="70">
        <f>+'17.Facility 6 Horti Processing '!H239*0</f>
        <v>0</v>
      </c>
      <c r="G14" s="70">
        <f>+'17.Facility 6 Horti Processing '!I239*0</f>
        <v>0</v>
      </c>
      <c r="H14" s="70">
        <f>+'17.Facility 6 Horti Processing '!J239*0</f>
        <v>0</v>
      </c>
    </row>
    <row r="15" spans="1:8" hidden="1">
      <c r="A15" s="69" t="s">
        <v>1664</v>
      </c>
      <c r="B15" s="70">
        <f>+'18. Facility 6 Cold Storage'!D62*0</f>
        <v>0</v>
      </c>
      <c r="C15" s="70">
        <f>+'18. Facility 6 Cold Storage'!E62*0</f>
        <v>0</v>
      </c>
      <c r="D15" s="70">
        <f>+'18. Facility 6 Cold Storage'!F62*0</f>
        <v>0</v>
      </c>
      <c r="E15" s="70">
        <f>+'18. Facility 6 Cold Storage'!G62*0</f>
        <v>0</v>
      </c>
      <c r="F15" s="70">
        <f>+'18. Facility 6 Cold Storage'!H62*0</f>
        <v>0</v>
      </c>
      <c r="G15" s="70">
        <f>+'18. Facility 6 Cold Storage'!I62*0</f>
        <v>0</v>
      </c>
      <c r="H15" s="70">
        <f>+'18. Facility 6 Cold Storage'!J62*0</f>
        <v>0</v>
      </c>
    </row>
    <row r="16" spans="1:8">
      <c r="A16" s="69"/>
      <c r="B16" s="70"/>
      <c r="C16" s="70"/>
      <c r="D16" s="70"/>
      <c r="E16" s="70"/>
      <c r="F16" s="70"/>
      <c r="G16" s="70"/>
      <c r="H16" s="70"/>
    </row>
    <row r="17" spans="1:10">
      <c r="A17" s="71" t="s">
        <v>143</v>
      </c>
      <c r="B17" s="87">
        <f>SUM(B8:B15)</f>
        <v>58869568.760166004</v>
      </c>
      <c r="C17" s="87">
        <f t="shared" ref="C17:H17" si="0">SUM(C8:C15)</f>
        <v>69676077.39555867</v>
      </c>
      <c r="D17" s="87">
        <f t="shared" si="0"/>
        <v>79759954.647810131</v>
      </c>
      <c r="E17" s="87">
        <f t="shared" si="0"/>
        <v>90706711.00870201</v>
      </c>
      <c r="F17" s="87">
        <f t="shared" si="0"/>
        <v>102548743.11906353</v>
      </c>
      <c r="G17" s="87">
        <f t="shared" si="0"/>
        <v>115256319.39043948</v>
      </c>
      <c r="H17" s="87">
        <f t="shared" si="0"/>
        <v>128978281.43115532</v>
      </c>
    </row>
    <row r="18" spans="1:10">
      <c r="A18" s="69"/>
      <c r="B18" s="70"/>
      <c r="C18" s="70"/>
      <c r="D18" s="70"/>
      <c r="E18" s="70"/>
      <c r="F18" s="70"/>
      <c r="G18" s="70"/>
      <c r="H18" s="70"/>
    </row>
    <row r="19" spans="1:10">
      <c r="A19" s="71" t="s">
        <v>314</v>
      </c>
      <c r="B19" s="70"/>
      <c r="C19" s="70"/>
      <c r="D19" s="70"/>
      <c r="E19" s="70"/>
      <c r="F19" s="70"/>
      <c r="G19" s="70"/>
      <c r="H19" s="70"/>
    </row>
    <row r="20" spans="1:10">
      <c r="A20" s="69"/>
      <c r="B20" s="70"/>
      <c r="C20" s="70"/>
      <c r="D20" s="70"/>
      <c r="E20" s="70"/>
      <c r="F20" s="70"/>
      <c r="G20" s="70"/>
      <c r="H20" s="70"/>
      <c r="J20" s="51">
        <f>+B8-B20</f>
        <v>0</v>
      </c>
    </row>
    <row r="21" spans="1:10">
      <c r="A21" s="69" t="str">
        <f>A9</f>
        <v>Facility 1 - Processing Unit- Dal Mill</v>
      </c>
      <c r="B21" s="70">
        <f>'12.Facility 1 Dal Mill'!D172</f>
        <v>44581482.190800793</v>
      </c>
      <c r="C21" s="70">
        <f>'12.Facility 1 Dal Mill'!E172</f>
        <v>53793668.240926258</v>
      </c>
      <c r="D21" s="70">
        <f>'12.Facility 1 Dal Mill'!F172</f>
        <v>61622188.535635501</v>
      </c>
      <c r="E21" s="70">
        <f>'12.Facility 1 Dal Mill'!G172</f>
        <v>70099076.68921335</v>
      </c>
      <c r="F21" s="70">
        <f>'12.Facility 1 Dal Mill'!H172</f>
        <v>79269598.186809912</v>
      </c>
      <c r="G21" s="70">
        <f>'12.Facility 1 Dal Mill'!I172</f>
        <v>89181924.142443091</v>
      </c>
      <c r="H21" s="70">
        <f>'12.Facility 1 Dal Mill'!J172</f>
        <v>99887308.698172569</v>
      </c>
      <c r="J21" s="51">
        <f>+B9-B21</f>
        <v>7662328.9265152141</v>
      </c>
    </row>
    <row r="22" spans="1:10">
      <c r="A22" s="69" t="str">
        <f>A10</f>
        <v>Facility 2 - Besan Unit</v>
      </c>
      <c r="B22" s="70">
        <f>'13.Facility 2 - Besan'!D273</f>
        <v>3269956.5377824795</v>
      </c>
      <c r="C22" s="70">
        <f>'13.Facility 2 - Besan'!E273</f>
        <v>3568324.9926608084</v>
      </c>
      <c r="D22" s="70">
        <f>'13.Facility 2 - Besan'!F273</f>
        <v>4069426.0254531372</v>
      </c>
      <c r="E22" s="70">
        <f>'13.Facility 2 - Besan'!G273</f>
        <v>4630371.2192159109</v>
      </c>
      <c r="F22" s="70">
        <f>'13.Facility 2 - Besan'!H273</f>
        <v>5237237.3672913266</v>
      </c>
      <c r="G22" s="70">
        <f>'13.Facility 2 - Besan'!I273</f>
        <v>5893214.202126245</v>
      </c>
      <c r="H22" s="70">
        <f>'13.Facility 2 - Besan'!J273</f>
        <v>6601695.6270264247</v>
      </c>
      <c r="J22" s="51"/>
    </row>
    <row r="23" spans="1:10">
      <c r="A23" s="69" t="str">
        <f>A11</f>
        <v>Facility 3 - Warehouse</v>
      </c>
      <c r="B23" s="70">
        <f>'14. Facility 3 Warehouse'!D34</f>
        <v>409000</v>
      </c>
      <c r="C23" s="70">
        <f>'14. Facility 3 Warehouse'!E34</f>
        <v>429450</v>
      </c>
      <c r="D23" s="70">
        <f>'14. Facility 3 Warehouse'!F34</f>
        <v>450922.5</v>
      </c>
      <c r="E23" s="70">
        <f>'14. Facility 3 Warehouse'!G34</f>
        <v>473468.62500000012</v>
      </c>
      <c r="F23" s="70">
        <f>'14. Facility 3 Warehouse'!H34</f>
        <v>497142.05625000002</v>
      </c>
      <c r="G23" s="70">
        <f>'14. Facility 3 Warehouse'!I34</f>
        <v>521999.15906250017</v>
      </c>
      <c r="H23" s="70">
        <f>'14. Facility 3 Warehouse'!J34</f>
        <v>548099.11701562512</v>
      </c>
      <c r="J23" s="51">
        <f>+B11-B23</f>
        <v>743000</v>
      </c>
    </row>
    <row r="24" spans="1:10" hidden="1">
      <c r="A24" s="69" t="str">
        <f>A12</f>
        <v xml:space="preserve">Facility 4 - Custom Hiring </v>
      </c>
      <c r="B24" s="70">
        <f>'15. Facility 4 Custom Hiring'!F49</f>
        <v>0</v>
      </c>
      <c r="C24" s="70">
        <f>'15. Facility 4 Custom Hiring'!G49</f>
        <v>0</v>
      </c>
      <c r="D24" s="70">
        <f>'15. Facility 4 Custom Hiring'!H49</f>
        <v>0</v>
      </c>
      <c r="E24" s="70">
        <f>'15. Facility 4 Custom Hiring'!I49</f>
        <v>0</v>
      </c>
      <c r="F24" s="70">
        <f>'15. Facility 4 Custom Hiring'!J49</f>
        <v>0</v>
      </c>
      <c r="G24" s="70">
        <f>'15. Facility 4 Custom Hiring'!K49</f>
        <v>0</v>
      </c>
      <c r="H24" s="70">
        <f>'15. Facility 4 Custom Hiring'!L49</f>
        <v>0</v>
      </c>
      <c r="J24" s="51">
        <f>+B12-B24</f>
        <v>0</v>
      </c>
    </row>
    <row r="25" spans="1:10" hidden="1">
      <c r="A25" s="69" t="str">
        <f>A13</f>
        <v>Faclitiy 5 - Agri Input Centre</v>
      </c>
      <c r="B25" s="70">
        <f>'16.Facility 5 Agri Input'!D262</f>
        <v>0</v>
      </c>
      <c r="C25" s="70">
        <f>'16.Facility 5 Agri Input'!E262</f>
        <v>0</v>
      </c>
      <c r="D25" s="70">
        <f>'16.Facility 5 Agri Input'!F262</f>
        <v>0</v>
      </c>
      <c r="E25" s="70">
        <f>'16.Facility 5 Agri Input'!G262</f>
        <v>0</v>
      </c>
      <c r="F25" s="70">
        <f>'16.Facility 5 Agri Input'!H262</f>
        <v>0</v>
      </c>
      <c r="G25" s="70">
        <f>'16.Facility 5 Agri Input'!I262</f>
        <v>0</v>
      </c>
      <c r="H25" s="70">
        <f>'16.Facility 5 Agri Input'!J262</f>
        <v>0</v>
      </c>
      <c r="J25" s="51">
        <f>+B13-B25</f>
        <v>0</v>
      </c>
    </row>
    <row r="26" spans="1:10" hidden="1">
      <c r="A26" s="69" t="s">
        <v>1980</v>
      </c>
      <c r="B26" s="70">
        <f>+'17.Facility 6 Horti Processing '!D289*0</f>
        <v>0</v>
      </c>
      <c r="C26" s="70">
        <f>+'17.Facility 6 Horti Processing '!E289*0</f>
        <v>0</v>
      </c>
      <c r="D26" s="70">
        <f>+'17.Facility 6 Horti Processing '!F289*0</f>
        <v>0</v>
      </c>
      <c r="E26" s="70">
        <f>+'17.Facility 6 Horti Processing '!G289*0</f>
        <v>0</v>
      </c>
      <c r="F26" s="70">
        <f>+'17.Facility 6 Horti Processing '!H289*0</f>
        <v>0</v>
      </c>
      <c r="G26" s="70">
        <f>+'17.Facility 6 Horti Processing '!I289*0</f>
        <v>0</v>
      </c>
      <c r="H26" s="70">
        <f>+'17.Facility 6 Horti Processing '!J289*0</f>
        <v>0</v>
      </c>
    </row>
    <row r="27" spans="1:10" hidden="1">
      <c r="A27" s="69" t="s">
        <v>1664</v>
      </c>
      <c r="B27" s="70">
        <f>+'18. Facility 6 Cold Storage'!D73*0</f>
        <v>0</v>
      </c>
      <c r="C27" s="70">
        <f>+'18. Facility 6 Cold Storage'!E73*0</f>
        <v>0</v>
      </c>
      <c r="D27" s="70">
        <f>+'18. Facility 6 Cold Storage'!F73*0</f>
        <v>0</v>
      </c>
      <c r="E27" s="70">
        <f>+'18. Facility 6 Cold Storage'!G73*0</f>
        <v>0</v>
      </c>
      <c r="F27" s="70">
        <f>+'18. Facility 6 Cold Storage'!H73*0</f>
        <v>0</v>
      </c>
      <c r="G27" s="70">
        <f>+'18. Facility 6 Cold Storage'!I73*0</f>
        <v>0</v>
      </c>
      <c r="H27" s="70">
        <f>+'18. Facility 6 Cold Storage'!J73*0</f>
        <v>0</v>
      </c>
    </row>
    <row r="28" spans="1:10">
      <c r="A28" s="69"/>
      <c r="B28" s="70"/>
      <c r="C28" s="70"/>
      <c r="D28" s="70"/>
      <c r="E28" s="70"/>
      <c r="F28" s="70"/>
      <c r="G28" s="70"/>
      <c r="H28" s="70"/>
    </row>
    <row r="29" spans="1:10">
      <c r="A29" s="71" t="s">
        <v>325</v>
      </c>
      <c r="B29" s="87">
        <f>SUM(B20:B27)</f>
        <v>48260438.728583276</v>
      </c>
      <c r="C29" s="87">
        <f t="shared" ref="C29:H29" si="1">SUM(C20:C27)</f>
        <v>57791443.233587064</v>
      </c>
      <c r="D29" s="87">
        <f t="shared" si="1"/>
        <v>66142537.061088637</v>
      </c>
      <c r="E29" s="87">
        <f t="shared" si="1"/>
        <v>75202916.533429265</v>
      </c>
      <c r="F29" s="87">
        <f t="shared" si="1"/>
        <v>85003977.61035125</v>
      </c>
      <c r="G29" s="87">
        <f t="shared" si="1"/>
        <v>95597137.503631845</v>
      </c>
      <c r="H29" s="87">
        <f t="shared" si="1"/>
        <v>107037103.44221462</v>
      </c>
    </row>
    <row r="30" spans="1:10">
      <c r="A30" s="69"/>
      <c r="B30" s="70"/>
      <c r="C30" s="70"/>
      <c r="D30" s="70"/>
      <c r="E30" s="70"/>
      <c r="F30" s="70"/>
      <c r="G30" s="70"/>
      <c r="H30" s="70"/>
    </row>
    <row r="31" spans="1:10">
      <c r="A31" s="71" t="s">
        <v>312</v>
      </c>
      <c r="B31" s="70"/>
      <c r="C31" s="70"/>
      <c r="D31" s="70"/>
      <c r="E31" s="70"/>
      <c r="F31" s="70"/>
      <c r="G31" s="70"/>
      <c r="H31" s="70"/>
    </row>
    <row r="32" spans="1:10">
      <c r="A32" s="69"/>
      <c r="B32" s="70"/>
      <c r="C32" s="70"/>
      <c r="D32" s="70"/>
      <c r="E32" s="70"/>
      <c r="F32" s="70"/>
      <c r="G32" s="70"/>
      <c r="H32" s="70"/>
    </row>
    <row r="33" spans="1:10">
      <c r="A33" s="69" t="str">
        <f>A21</f>
        <v>Facility 1 - Processing Unit- Dal Mill</v>
      </c>
      <c r="B33" s="70">
        <f>'12.Facility 1 Dal Mill'!D179</f>
        <v>840000</v>
      </c>
      <c r="C33" s="70">
        <f>'12.Facility 1 Dal Mill'!E179</f>
        <v>882000</v>
      </c>
      <c r="D33" s="70">
        <f>'12.Facility 1 Dal Mill'!F179</f>
        <v>926100</v>
      </c>
      <c r="E33" s="70">
        <f>'12.Facility 1 Dal Mill'!G179</f>
        <v>972405.00000000023</v>
      </c>
      <c r="F33" s="70">
        <f>'12.Facility 1 Dal Mill'!H179</f>
        <v>1021025.2500000002</v>
      </c>
      <c r="G33" s="70">
        <f>'12.Facility 1 Dal Mill'!I179</f>
        <v>1072076.5125000002</v>
      </c>
      <c r="H33" s="70">
        <f>'12.Facility 1 Dal Mill'!J179</f>
        <v>1125680.3381250002</v>
      </c>
    </row>
    <row r="34" spans="1:10">
      <c r="A34" s="69" t="str">
        <f>A22</f>
        <v>Facility 2 - Besan Unit</v>
      </c>
      <c r="B34" s="70">
        <f>'13.Facility 2 - Besan'!D282</f>
        <v>120000</v>
      </c>
      <c r="C34" s="70">
        <f>'13.Facility 2 - Besan'!E282</f>
        <v>126000</v>
      </c>
      <c r="D34" s="70">
        <f>'13.Facility 2 - Besan'!F282</f>
        <v>132300</v>
      </c>
      <c r="E34" s="70">
        <f>'13.Facility 2 - Besan'!G282</f>
        <v>138915.00000000003</v>
      </c>
      <c r="F34" s="70">
        <f>'13.Facility 2 - Besan'!H282</f>
        <v>145860.75000000003</v>
      </c>
      <c r="G34" s="70">
        <f>'13.Facility 2 - Besan'!I282</f>
        <v>153153.78750000003</v>
      </c>
      <c r="H34" s="70">
        <f>'13.Facility 2 - Besan'!J282</f>
        <v>160811.47687500005</v>
      </c>
    </row>
    <row r="35" spans="1:10">
      <c r="A35" s="69" t="str">
        <f>A23</f>
        <v>Facility 3 - Warehouse</v>
      </c>
      <c r="B35" s="70">
        <f>'14. Facility 3 Warehouse'!D43</f>
        <v>120000</v>
      </c>
      <c r="C35" s="70">
        <f>'14. Facility 3 Warehouse'!E43</f>
        <v>126000</v>
      </c>
      <c r="D35" s="70">
        <f>'14. Facility 3 Warehouse'!F43</f>
        <v>132300</v>
      </c>
      <c r="E35" s="70">
        <f>'14. Facility 3 Warehouse'!G43</f>
        <v>138915.00000000003</v>
      </c>
      <c r="F35" s="70">
        <f>'14. Facility 3 Warehouse'!H43</f>
        <v>145860.75000000003</v>
      </c>
      <c r="G35" s="70">
        <f>'14. Facility 3 Warehouse'!I43</f>
        <v>153153.78750000003</v>
      </c>
      <c r="H35" s="70">
        <f>'14. Facility 3 Warehouse'!J43</f>
        <v>160811.47687500005</v>
      </c>
    </row>
    <row r="36" spans="1:10" hidden="1">
      <c r="A36" s="69" t="str">
        <f>A24</f>
        <v xml:space="preserve">Facility 4 - Custom Hiring </v>
      </c>
      <c r="B36" s="70">
        <f>'15. Facility 4 Custom Hiring'!F56</f>
        <v>0</v>
      </c>
      <c r="C36" s="70">
        <f>'15. Facility 4 Custom Hiring'!G56</f>
        <v>0</v>
      </c>
      <c r="D36" s="70">
        <f>'15. Facility 4 Custom Hiring'!H56</f>
        <v>0</v>
      </c>
      <c r="E36" s="70">
        <f>'15. Facility 4 Custom Hiring'!I56</f>
        <v>0</v>
      </c>
      <c r="F36" s="70">
        <f>'15. Facility 4 Custom Hiring'!J56</f>
        <v>0</v>
      </c>
      <c r="G36" s="70">
        <f>'15. Facility 4 Custom Hiring'!K56</f>
        <v>0</v>
      </c>
      <c r="H36" s="70">
        <f>'15. Facility 4 Custom Hiring'!L56</f>
        <v>0</v>
      </c>
    </row>
    <row r="37" spans="1:10" hidden="1">
      <c r="A37" s="69" t="str">
        <f>A25</f>
        <v>Faclitiy 5 - Agri Input Centre</v>
      </c>
      <c r="B37" s="70">
        <f>'16.Facility 5 Agri Input'!D273</f>
        <v>0</v>
      </c>
      <c r="C37" s="70">
        <f>'16.Facility 5 Agri Input'!E273</f>
        <v>0</v>
      </c>
      <c r="D37" s="70">
        <f>'16.Facility 5 Agri Input'!F273</f>
        <v>0</v>
      </c>
      <c r="E37" s="70">
        <f>'16.Facility 5 Agri Input'!G273</f>
        <v>0</v>
      </c>
      <c r="F37" s="70">
        <f>'16.Facility 5 Agri Input'!H273</f>
        <v>0</v>
      </c>
      <c r="G37" s="70">
        <f>'16.Facility 5 Agri Input'!I273</f>
        <v>0</v>
      </c>
      <c r="H37" s="70">
        <f>'16.Facility 5 Agri Input'!J273</f>
        <v>0</v>
      </c>
    </row>
    <row r="38" spans="1:10" hidden="1">
      <c r="A38" s="69" t="s">
        <v>1980</v>
      </c>
      <c r="B38" s="70">
        <f>+'17.Facility 6 Horti Processing '!D304*0</f>
        <v>0</v>
      </c>
      <c r="C38" s="70">
        <f>+'17.Facility 6 Horti Processing '!E304*0</f>
        <v>0</v>
      </c>
      <c r="D38" s="70">
        <f>+'17.Facility 6 Horti Processing '!F304*0</f>
        <v>0</v>
      </c>
      <c r="E38" s="70">
        <f>+'17.Facility 6 Horti Processing '!G304*0</f>
        <v>0</v>
      </c>
      <c r="F38" s="70">
        <f>+'17.Facility 6 Horti Processing '!H304*0</f>
        <v>0</v>
      </c>
      <c r="G38" s="70">
        <f>+'17.Facility 6 Horti Processing '!I304*0</f>
        <v>0</v>
      </c>
      <c r="H38" s="70">
        <f>+'17.Facility 6 Horti Processing '!J304*0</f>
        <v>0</v>
      </c>
    </row>
    <row r="39" spans="1:10" hidden="1">
      <c r="A39" s="69" t="s">
        <v>1664</v>
      </c>
      <c r="B39" s="70">
        <f>+'18. Facility 6 Cold Storage'!D82*0</f>
        <v>0</v>
      </c>
      <c r="C39" s="70">
        <f>+'18. Facility 6 Cold Storage'!E82*0</f>
        <v>0</v>
      </c>
      <c r="D39" s="70">
        <f>+'18. Facility 6 Cold Storage'!F82*0</f>
        <v>0</v>
      </c>
      <c r="E39" s="70">
        <f>+'18. Facility 6 Cold Storage'!G82*0</f>
        <v>0</v>
      </c>
      <c r="F39" s="70">
        <f>+'18. Facility 6 Cold Storage'!H82*0</f>
        <v>0</v>
      </c>
      <c r="G39" s="70">
        <f>+'18. Facility 6 Cold Storage'!I82*0</f>
        <v>0</v>
      </c>
      <c r="H39" s="70">
        <f>+'18. Facility 6 Cold Storage'!J82*0</f>
        <v>0</v>
      </c>
    </row>
    <row r="40" spans="1:10">
      <c r="A40" s="69" t="s">
        <v>9</v>
      </c>
      <c r="B40" s="70">
        <f>'3.Other Exp &amp; Taxes (2)'!E20</f>
        <v>1288000</v>
      </c>
      <c r="C40" s="70">
        <f>'3.Other Exp &amp; Taxes (2)'!F20</f>
        <v>1352400</v>
      </c>
      <c r="D40" s="70">
        <f>'3.Other Exp &amp; Taxes (2)'!G20</f>
        <v>1420020</v>
      </c>
      <c r="E40" s="70">
        <f>'3.Other Exp &amp; Taxes (2)'!H20</f>
        <v>1545600</v>
      </c>
      <c r="F40" s="70">
        <f>'3.Other Exp &amp; Taxes (2)'!I20</f>
        <v>1622880</v>
      </c>
      <c r="G40" s="70">
        <f>'3.Other Exp &amp; Taxes (2)'!J20</f>
        <v>1704024</v>
      </c>
      <c r="H40" s="70">
        <f>'3.Other Exp &amp; Taxes (2)'!K20</f>
        <v>1789225.2000000002</v>
      </c>
    </row>
    <row r="41" spans="1:10">
      <c r="A41" s="71" t="s">
        <v>329</v>
      </c>
      <c r="B41" s="87">
        <f>SUM(B32:B40)</f>
        <v>2368000</v>
      </c>
      <c r="C41" s="87">
        <f t="shared" ref="C41:H41" si="2">SUM(C32:C40)</f>
        <v>2486400</v>
      </c>
      <c r="D41" s="87">
        <f t="shared" si="2"/>
        <v>2610720</v>
      </c>
      <c r="E41" s="87">
        <f t="shared" si="2"/>
        <v>2795835</v>
      </c>
      <c r="F41" s="87">
        <f t="shared" si="2"/>
        <v>2935626.75</v>
      </c>
      <c r="G41" s="87">
        <f t="shared" si="2"/>
        <v>3082408.0875000004</v>
      </c>
      <c r="H41" s="87">
        <f t="shared" si="2"/>
        <v>3236528.4918750008</v>
      </c>
    </row>
    <row r="42" spans="1:10">
      <c r="A42" s="69"/>
      <c r="B42" s="70"/>
      <c r="C42" s="70"/>
      <c r="D42" s="70"/>
      <c r="E42" s="70"/>
      <c r="F42" s="70"/>
      <c r="G42" s="70"/>
      <c r="H42" s="70"/>
    </row>
    <row r="43" spans="1:10">
      <c r="A43" s="71" t="s">
        <v>334</v>
      </c>
      <c r="B43" s="87">
        <f t="shared" ref="B43:H43" si="3">B29+B41</f>
        <v>50628438.728583276</v>
      </c>
      <c r="C43" s="87">
        <f t="shared" si="3"/>
        <v>60277843.233587064</v>
      </c>
      <c r="D43" s="87">
        <f t="shared" si="3"/>
        <v>68753257.061088637</v>
      </c>
      <c r="E43" s="87">
        <f t="shared" si="3"/>
        <v>77998751.533429265</v>
      </c>
      <c r="F43" s="87">
        <f t="shared" si="3"/>
        <v>87939604.36035125</v>
      </c>
      <c r="G43" s="87">
        <f t="shared" si="3"/>
        <v>98679545.591131851</v>
      </c>
      <c r="H43" s="87">
        <f t="shared" si="3"/>
        <v>110273631.93408963</v>
      </c>
    </row>
    <row r="44" spans="1:10">
      <c r="A44" s="69"/>
      <c r="B44" s="70"/>
      <c r="C44" s="70"/>
      <c r="D44" s="70"/>
      <c r="E44" s="70"/>
      <c r="F44" s="70"/>
      <c r="G44" s="70"/>
      <c r="H44" s="70"/>
    </row>
    <row r="45" spans="1:10">
      <c r="A45" s="71" t="s">
        <v>136</v>
      </c>
      <c r="B45" s="87">
        <f t="shared" ref="B45:H45" si="4">B17-B43</f>
        <v>8241130.031582728</v>
      </c>
      <c r="C45" s="87">
        <f t="shared" si="4"/>
        <v>9398234.1619716063</v>
      </c>
      <c r="D45" s="87">
        <f t="shared" si="4"/>
        <v>11006697.586721495</v>
      </c>
      <c r="E45" s="87">
        <f t="shared" si="4"/>
        <v>12707959.475272745</v>
      </c>
      <c r="F45" s="87">
        <f t="shared" si="4"/>
        <v>14609138.758712277</v>
      </c>
      <c r="G45" s="87">
        <f t="shared" si="4"/>
        <v>16576773.799307629</v>
      </c>
      <c r="H45" s="87">
        <f t="shared" si="4"/>
        <v>18704649.497065693</v>
      </c>
      <c r="J45" s="51">
        <f>B54+B47+B48</f>
        <v>5988296.1443802733</v>
      </c>
    </row>
    <row r="46" spans="1:10">
      <c r="A46" s="69"/>
      <c r="B46" s="70"/>
      <c r="C46" s="70"/>
      <c r="D46" s="70"/>
      <c r="E46" s="70"/>
      <c r="F46" s="70"/>
      <c r="G46" s="70"/>
      <c r="H46" s="70"/>
      <c r="J46">
        <f>'5.Closing Stock &amp; W Capital'!E56</f>
        <v>955691.00195066223</v>
      </c>
    </row>
    <row r="47" spans="1:10">
      <c r="A47" s="69" t="s">
        <v>17</v>
      </c>
      <c r="B47" s="70">
        <f>'3.Other Exp &amp; Taxes (2)'!C63</f>
        <v>1749940.8064439599</v>
      </c>
      <c r="C47" s="70">
        <f>'3.Other Exp &amp; Taxes (2)'!D63</f>
        <v>1749940.8064439599</v>
      </c>
      <c r="D47" s="70">
        <f>'3.Other Exp &amp; Taxes (2)'!E63</f>
        <v>1749940.8064439599</v>
      </c>
      <c r="E47" s="70">
        <f>'3.Other Exp &amp; Taxes (2)'!F63</f>
        <v>1749940.8064439599</v>
      </c>
      <c r="F47" s="70">
        <f>'3.Other Exp &amp; Taxes (2)'!G63</f>
        <v>1749940.8064439599</v>
      </c>
      <c r="G47" s="70">
        <f>'3.Other Exp &amp; Taxes (2)'!H63</f>
        <v>1749940.8064439599</v>
      </c>
      <c r="H47" s="70">
        <f>'3.Other Exp &amp; Taxes (2)'!I63</f>
        <v>1749940.8064439599</v>
      </c>
      <c r="J47" s="51">
        <f>J45+J46</f>
        <v>6943987.1463309359</v>
      </c>
    </row>
    <row r="48" spans="1:10">
      <c r="A48" s="69" t="s">
        <v>137</v>
      </c>
      <c r="B48" s="70">
        <f>'3.Other Exp &amp; Taxes (2)'!C84</f>
        <v>376640.6</v>
      </c>
      <c r="C48" s="70">
        <f>'3.Other Exp &amp; Taxes (2)'!D84</f>
        <v>376640.6</v>
      </c>
      <c r="D48" s="70">
        <f>'3.Other Exp &amp; Taxes (2)'!E84</f>
        <v>376640.6</v>
      </c>
      <c r="E48" s="70">
        <f>'3.Other Exp &amp; Taxes (2)'!F84</f>
        <v>376640.6</v>
      </c>
      <c r="F48" s="70">
        <f>'3.Other Exp &amp; Taxes (2)'!G84</f>
        <v>376640.6</v>
      </c>
      <c r="G48" s="70">
        <f>'3.Other Exp &amp; Taxes (2)'!H84</f>
        <v>0</v>
      </c>
      <c r="H48" s="70">
        <f>'3.Other Exp &amp; Taxes (2)'!I84</f>
        <v>0</v>
      </c>
    </row>
    <row r="49" spans="1:9">
      <c r="A49" s="69"/>
      <c r="B49" s="70"/>
      <c r="C49" s="70"/>
      <c r="D49" s="70"/>
      <c r="E49" s="70"/>
      <c r="F49" s="70"/>
      <c r="G49" s="70"/>
      <c r="H49" s="70"/>
    </row>
    <row r="50" spans="1:9">
      <c r="A50" s="71" t="s">
        <v>138</v>
      </c>
      <c r="B50" s="87">
        <f>B45-B47-B48</f>
        <v>6114548.6251387689</v>
      </c>
      <c r="C50" s="87">
        <f t="shared" ref="C50:H50" si="5">C45-C47-C48</f>
        <v>7271652.7555276472</v>
      </c>
      <c r="D50" s="87">
        <f t="shared" si="5"/>
        <v>8880116.1802775357</v>
      </c>
      <c r="E50" s="87">
        <f t="shared" si="5"/>
        <v>10581378.068828786</v>
      </c>
      <c r="F50" s="87">
        <f t="shared" si="5"/>
        <v>12482557.352268318</v>
      </c>
      <c r="G50" s="87">
        <f t="shared" si="5"/>
        <v>14826832.99286367</v>
      </c>
      <c r="H50" s="87">
        <f t="shared" si="5"/>
        <v>16954708.690621734</v>
      </c>
    </row>
    <row r="51" spans="1:9">
      <c r="A51" s="69"/>
      <c r="B51" s="70"/>
      <c r="C51" s="70"/>
      <c r="D51" s="70"/>
      <c r="E51" s="70"/>
      <c r="F51" s="70"/>
      <c r="G51" s="70"/>
      <c r="H51" s="70"/>
    </row>
    <row r="52" spans="1:9">
      <c r="A52" s="69" t="s">
        <v>24</v>
      </c>
      <c r="B52" s="70">
        <f>'8.Cash Flow '!C29+'8.Cash Flow '!C31</f>
        <v>2252833.8872024557</v>
      </c>
      <c r="C52" s="70">
        <f>'8.Cash Flow '!D29+'8.Cash Flow '!D31</f>
        <v>2155733.158600504</v>
      </c>
      <c r="D52" s="70">
        <f>'8.Cash Flow '!E29+'8.Cash Flow '!E31</f>
        <v>2012798.3913553208</v>
      </c>
      <c r="E52" s="70">
        <f>'8.Cash Flow '!F29+'8.Cash Flow '!F31</f>
        <v>1848431.6455380481</v>
      </c>
      <c r="F52" s="70">
        <f>'8.Cash Flow '!G29+'8.Cash Flow '!G31</f>
        <v>1659459.5635240346</v>
      </c>
      <c r="G52" s="70">
        <f>'8.Cash Flow '!H29+'8.Cash Flow '!H31</f>
        <v>1441946.4862650456</v>
      </c>
      <c r="H52" s="70">
        <f>'8.Cash Flow '!I29+'8.Cash Flow '!I31</f>
        <v>1192285.0586386425</v>
      </c>
    </row>
    <row r="53" spans="1:9">
      <c r="A53" s="69"/>
      <c r="B53" s="70"/>
      <c r="C53" s="70"/>
      <c r="D53" s="70"/>
      <c r="E53" s="70"/>
      <c r="F53" s="70"/>
      <c r="G53" s="70"/>
      <c r="H53" s="70"/>
    </row>
    <row r="54" spans="1:9">
      <c r="A54" s="69" t="s">
        <v>25</v>
      </c>
      <c r="B54" s="70">
        <f>B50-B52</f>
        <v>3861714.7379363133</v>
      </c>
      <c r="C54" s="70">
        <f t="shared" ref="C54:H54" si="6">C50-C52</f>
        <v>5115919.5969271436</v>
      </c>
      <c r="D54" s="70">
        <f t="shared" si="6"/>
        <v>6867317.7889222149</v>
      </c>
      <c r="E54" s="70">
        <f t="shared" si="6"/>
        <v>8732946.423290737</v>
      </c>
      <c r="F54" s="70">
        <f t="shared" si="6"/>
        <v>10823097.788744284</v>
      </c>
      <c r="G54" s="70">
        <f t="shared" si="6"/>
        <v>13384886.506598625</v>
      </c>
      <c r="H54" s="70">
        <f t="shared" si="6"/>
        <v>15762423.63198309</v>
      </c>
    </row>
    <row r="55" spans="1:9">
      <c r="A55" s="69" t="s">
        <v>26</v>
      </c>
      <c r="B55" s="70">
        <f>'8.Cash Flow '!C34</f>
        <v>257924.05605207125</v>
      </c>
      <c r="C55" s="70">
        <f>'8.Cash Flow '!D34</f>
        <v>739477.42721270688</v>
      </c>
      <c r="D55" s="70">
        <f>'8.Cash Flow '!E34</f>
        <v>1329452.6337809926</v>
      </c>
      <c r="E55" s="70">
        <f>'8.Cash Flow '!F34</f>
        <v>1931159.5303689402</v>
      </c>
      <c r="F55" s="70">
        <f>'8.Cash Flow '!G34</f>
        <v>2575746.9931411748</v>
      </c>
      <c r="G55" s="70">
        <f>'8.Cash Flow '!H34</f>
        <v>3329589.0078394683</v>
      </c>
      <c r="H55" s="70">
        <f>'8.Cash Flow '!I34</f>
        <v>4023980.0171056702</v>
      </c>
    </row>
    <row r="56" spans="1:9">
      <c r="A56" s="71" t="s">
        <v>28</v>
      </c>
      <c r="B56" s="70">
        <f t="shared" ref="B56:H56" si="7">B54-B55</f>
        <v>3603790.6818842422</v>
      </c>
      <c r="C56" s="70">
        <f t="shared" si="7"/>
        <v>4376442.1697144369</v>
      </c>
      <c r="D56" s="70">
        <f t="shared" si="7"/>
        <v>5537865.1551412223</v>
      </c>
      <c r="E56" s="70">
        <f t="shared" si="7"/>
        <v>6801786.892921797</v>
      </c>
      <c r="F56" s="70">
        <f t="shared" si="7"/>
        <v>8247350.7956031095</v>
      </c>
      <c r="G56" s="70">
        <f t="shared" si="7"/>
        <v>10055297.498759158</v>
      </c>
      <c r="H56" s="70">
        <f t="shared" si="7"/>
        <v>11738443.61487742</v>
      </c>
    </row>
    <row r="57" spans="1:9">
      <c r="A57" s="68"/>
      <c r="B57" s="84"/>
      <c r="C57" s="84"/>
      <c r="D57" s="84"/>
      <c r="E57" s="84"/>
      <c r="F57" s="84"/>
      <c r="G57" s="84"/>
      <c r="H57" s="84"/>
    </row>
    <row r="58" spans="1:9">
      <c r="A58" s="68" t="s">
        <v>510</v>
      </c>
      <c r="B58" s="84">
        <f>B56</f>
        <v>3603790.6818842422</v>
      </c>
      <c r="C58" s="84">
        <f t="shared" ref="C58:H58" si="8">B58+C56</f>
        <v>7980232.8515986791</v>
      </c>
      <c r="D58" s="84">
        <f t="shared" si="8"/>
        <v>13518098.006739901</v>
      </c>
      <c r="E58" s="84">
        <f t="shared" si="8"/>
        <v>20319884.899661697</v>
      </c>
      <c r="F58" s="84">
        <f t="shared" si="8"/>
        <v>28567235.695264809</v>
      </c>
      <c r="G58" s="84">
        <f t="shared" si="8"/>
        <v>38622533.194023967</v>
      </c>
      <c r="H58" s="84">
        <f t="shared" si="8"/>
        <v>50360976.808901384</v>
      </c>
    </row>
    <row r="61" spans="1:9" ht="32.450000000000003" customHeight="1">
      <c r="A61" s="1152" t="s">
        <v>410</v>
      </c>
      <c r="B61" s="1152"/>
      <c r="C61" s="1152"/>
      <c r="D61" s="1152"/>
      <c r="E61" s="1152"/>
      <c r="F61" s="1152"/>
      <c r="G61" s="1152"/>
      <c r="H61" s="1152"/>
      <c r="I61" s="590"/>
    </row>
    <row r="63" spans="1:9">
      <c r="A63" s="209"/>
    </row>
    <row r="65" spans="2:8">
      <c r="B65" s="51">
        <f>SUM(B32:B38)</f>
        <v>1080000</v>
      </c>
      <c r="C65" s="51">
        <f t="shared" ref="C65:H65" si="9">SUM(C32:C38)</f>
        <v>1134000</v>
      </c>
      <c r="D65" s="51">
        <f t="shared" si="9"/>
        <v>1190700</v>
      </c>
      <c r="E65" s="51">
        <f t="shared" si="9"/>
        <v>1250235.0000000002</v>
      </c>
      <c r="F65" s="51">
        <f t="shared" si="9"/>
        <v>1312746.7500000002</v>
      </c>
      <c r="G65" s="51">
        <f t="shared" si="9"/>
        <v>1378384.0875000004</v>
      </c>
      <c r="H65" s="51">
        <f t="shared" si="9"/>
        <v>1447303.2918750006</v>
      </c>
    </row>
    <row r="67" spans="2:8">
      <c r="B67" s="51">
        <f>+B17-B29-B65</f>
        <v>9529130.031582728</v>
      </c>
      <c r="C67" s="51">
        <f t="shared" ref="C67:H67" si="10">+C17-C29-C65</f>
        <v>10750634.161971606</v>
      </c>
      <c r="D67" s="51">
        <f t="shared" si="10"/>
        <v>12426717.586721495</v>
      </c>
      <c r="E67" s="51">
        <f t="shared" si="10"/>
        <v>14253559.475272745</v>
      </c>
      <c r="F67" s="51">
        <f t="shared" si="10"/>
        <v>16232018.758712277</v>
      </c>
      <c r="G67" s="51">
        <f t="shared" si="10"/>
        <v>18280797.799307637</v>
      </c>
      <c r="H67" s="51">
        <f t="shared" si="10"/>
        <v>20493874.6970657</v>
      </c>
    </row>
    <row r="68" spans="2:8">
      <c r="B68" s="51">
        <f>+B58</f>
        <v>3603790.6818842422</v>
      </c>
      <c r="C68" s="51">
        <f t="shared" ref="C68:H68" si="11">+C58</f>
        <v>7980232.8515986791</v>
      </c>
      <c r="D68" s="51">
        <f t="shared" si="11"/>
        <v>13518098.006739901</v>
      </c>
      <c r="E68" s="51">
        <f t="shared" si="11"/>
        <v>20319884.899661697</v>
      </c>
      <c r="F68" s="51">
        <f t="shared" si="11"/>
        <v>28567235.695264809</v>
      </c>
      <c r="G68" s="51">
        <f t="shared" si="11"/>
        <v>38622533.194023967</v>
      </c>
      <c r="H68" s="51">
        <f t="shared" si="11"/>
        <v>50360976.808901384</v>
      </c>
    </row>
    <row r="69" spans="2:8">
      <c r="B69" s="3">
        <f>+B67/B29</f>
        <v>0.19745220480017928</v>
      </c>
      <c r="C69" s="3">
        <f t="shared" ref="C69:H69" si="12">+C67/C29</f>
        <v>0.18602467009724347</v>
      </c>
      <c r="D69" s="3">
        <f t="shared" si="12"/>
        <v>0.18787784894377868</v>
      </c>
      <c r="E69" s="3">
        <f t="shared" si="12"/>
        <v>0.18953466344535641</v>
      </c>
      <c r="F69" s="3">
        <f t="shared" si="12"/>
        <v>0.19095599070808239</v>
      </c>
      <c r="G69" s="3">
        <f t="shared" si="12"/>
        <v>0.1912274601173401</v>
      </c>
      <c r="H69" s="3">
        <f t="shared" si="12"/>
        <v>0.19146514655200461</v>
      </c>
    </row>
    <row r="70" spans="2:8">
      <c r="B70" s="3">
        <f>+B68/B29</f>
        <v>7.4673806886670926E-2</v>
      </c>
      <c r="C70" s="3">
        <f t="shared" ref="C70:H70" si="13">+C68/C29</f>
        <v>0.138086754804572</v>
      </c>
      <c r="D70" s="3">
        <f t="shared" si="13"/>
        <v>0.20437828071600445</v>
      </c>
      <c r="E70" s="3">
        <f t="shared" si="13"/>
        <v>0.27020075598569487</v>
      </c>
      <c r="F70" s="3">
        <f t="shared" si="13"/>
        <v>0.33606939931933338</v>
      </c>
      <c r="G70" s="3">
        <f t="shared" si="13"/>
        <v>0.40401349038883777</v>
      </c>
      <c r="H70" s="3">
        <f t="shared" si="13"/>
        <v>0.47050018348160377</v>
      </c>
    </row>
  </sheetData>
  <mergeCells count="2">
    <mergeCell ref="A2:H2"/>
    <mergeCell ref="A61:H61"/>
  </mergeCells>
  <pageMargins left="1" right="0.7" top="0.75" bottom="0.75" header="0.3" footer="0.3"/>
  <pageSetup scale="6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view="pageBreakPreview" topLeftCell="A26" zoomScale="80" zoomScaleSheetLayoutView="80" workbookViewId="0">
      <selection activeCell="A4" sqref="A4:H44"/>
    </sheetView>
  </sheetViews>
  <sheetFormatPr defaultRowHeight="15"/>
  <cols>
    <col min="1" max="1" width="37.28515625" style="42" customWidth="1"/>
    <col min="2" max="2" width="18.42578125" style="42" bestFit="1" customWidth="1"/>
    <col min="3" max="3" width="12.42578125" style="42" bestFit="1" customWidth="1"/>
    <col min="4" max="6" width="13.5703125" style="42" bestFit="1" customWidth="1"/>
    <col min="7" max="8" width="12.42578125" style="42" customWidth="1"/>
    <col min="9" max="9" width="9.140625" style="42"/>
    <col min="10" max="10" width="32.85546875" style="42" bestFit="1" customWidth="1"/>
    <col min="11" max="16" width="8.7109375" style="42" bestFit="1"/>
    <col min="17" max="17" width="10.140625" style="42" bestFit="1" customWidth="1"/>
    <col min="18" max="256" width="9.140625" style="42"/>
    <col min="257" max="257" width="37.28515625" style="42" customWidth="1"/>
    <col min="258" max="258" width="18.42578125" style="42" bestFit="1" customWidth="1"/>
    <col min="259" max="262" width="12.42578125" style="42" bestFit="1" customWidth="1"/>
    <col min="263" max="263" width="11.7109375" style="42" bestFit="1" customWidth="1"/>
    <col min="264" max="512" width="9.140625" style="42"/>
    <col min="513" max="513" width="37.28515625" style="42" customWidth="1"/>
    <col min="514" max="514" width="18.42578125" style="42" bestFit="1" customWidth="1"/>
    <col min="515" max="518" width="12.42578125" style="42" bestFit="1" customWidth="1"/>
    <col min="519" max="519" width="11.7109375" style="42" bestFit="1" customWidth="1"/>
    <col min="520" max="768" width="9.140625" style="42"/>
    <col min="769" max="769" width="37.28515625" style="42" customWidth="1"/>
    <col min="770" max="770" width="18.42578125" style="42" bestFit="1" customWidth="1"/>
    <col min="771" max="774" width="12.42578125" style="42" bestFit="1" customWidth="1"/>
    <col min="775" max="775" width="11.7109375" style="42" bestFit="1" customWidth="1"/>
    <col min="776" max="1024" width="9.140625" style="42"/>
    <col min="1025" max="1025" width="37.28515625" style="42" customWidth="1"/>
    <col min="1026" max="1026" width="18.42578125" style="42" bestFit="1" customWidth="1"/>
    <col min="1027" max="1030" width="12.42578125" style="42" bestFit="1" customWidth="1"/>
    <col min="1031" max="1031" width="11.7109375" style="42" bestFit="1" customWidth="1"/>
    <col min="1032" max="1280" width="9.140625" style="42"/>
    <col min="1281" max="1281" width="37.28515625" style="42" customWidth="1"/>
    <col min="1282" max="1282" width="18.42578125" style="42" bestFit="1" customWidth="1"/>
    <col min="1283" max="1286" width="12.42578125" style="42" bestFit="1" customWidth="1"/>
    <col min="1287" max="1287" width="11.7109375" style="42" bestFit="1" customWidth="1"/>
    <col min="1288" max="1536" width="9.140625" style="42"/>
    <col min="1537" max="1537" width="37.28515625" style="42" customWidth="1"/>
    <col min="1538" max="1538" width="18.42578125" style="42" bestFit="1" customWidth="1"/>
    <col min="1539" max="1542" width="12.42578125" style="42" bestFit="1" customWidth="1"/>
    <col min="1543" max="1543" width="11.7109375" style="42" bestFit="1" customWidth="1"/>
    <col min="1544" max="1792" width="9.140625" style="42"/>
    <col min="1793" max="1793" width="37.28515625" style="42" customWidth="1"/>
    <col min="1794" max="1794" width="18.42578125" style="42" bestFit="1" customWidth="1"/>
    <col min="1795" max="1798" width="12.42578125" style="42" bestFit="1" customWidth="1"/>
    <col min="1799" max="1799" width="11.7109375" style="42" bestFit="1" customWidth="1"/>
    <col min="1800" max="2048" width="9.140625" style="42"/>
    <col min="2049" max="2049" width="37.28515625" style="42" customWidth="1"/>
    <col min="2050" max="2050" width="18.42578125" style="42" bestFit="1" customWidth="1"/>
    <col min="2051" max="2054" width="12.42578125" style="42" bestFit="1" customWidth="1"/>
    <col min="2055" max="2055" width="11.7109375" style="42" bestFit="1" customWidth="1"/>
    <col min="2056" max="2304" width="9.140625" style="42"/>
    <col min="2305" max="2305" width="37.28515625" style="42" customWidth="1"/>
    <col min="2306" max="2306" width="18.42578125" style="42" bestFit="1" customWidth="1"/>
    <col min="2307" max="2310" width="12.42578125" style="42" bestFit="1" customWidth="1"/>
    <col min="2311" max="2311" width="11.7109375" style="42" bestFit="1" customWidth="1"/>
    <col min="2312" max="2560" width="9.140625" style="42"/>
    <col min="2561" max="2561" width="37.28515625" style="42" customWidth="1"/>
    <col min="2562" max="2562" width="18.42578125" style="42" bestFit="1" customWidth="1"/>
    <col min="2563" max="2566" width="12.42578125" style="42" bestFit="1" customWidth="1"/>
    <col min="2567" max="2567" width="11.7109375" style="42" bestFit="1" customWidth="1"/>
    <col min="2568" max="2816" width="9.140625" style="42"/>
    <col min="2817" max="2817" width="37.28515625" style="42" customWidth="1"/>
    <col min="2818" max="2818" width="18.42578125" style="42" bestFit="1" customWidth="1"/>
    <col min="2819" max="2822" width="12.42578125" style="42" bestFit="1" customWidth="1"/>
    <col min="2823" max="2823" width="11.7109375" style="42" bestFit="1" customWidth="1"/>
    <col min="2824" max="3072" width="9.140625" style="42"/>
    <col min="3073" max="3073" width="37.28515625" style="42" customWidth="1"/>
    <col min="3074" max="3074" width="18.42578125" style="42" bestFit="1" customWidth="1"/>
    <col min="3075" max="3078" width="12.42578125" style="42" bestFit="1" customWidth="1"/>
    <col min="3079" max="3079" width="11.7109375" style="42" bestFit="1" customWidth="1"/>
    <col min="3080" max="3328" width="9.140625" style="42"/>
    <col min="3329" max="3329" width="37.28515625" style="42" customWidth="1"/>
    <col min="3330" max="3330" width="18.42578125" style="42" bestFit="1" customWidth="1"/>
    <col min="3331" max="3334" width="12.42578125" style="42" bestFit="1" customWidth="1"/>
    <col min="3335" max="3335" width="11.7109375" style="42" bestFit="1" customWidth="1"/>
    <col min="3336" max="3584" width="9.140625" style="42"/>
    <col min="3585" max="3585" width="37.28515625" style="42" customWidth="1"/>
    <col min="3586" max="3586" width="18.42578125" style="42" bestFit="1" customWidth="1"/>
    <col min="3587" max="3590" width="12.42578125" style="42" bestFit="1" customWidth="1"/>
    <col min="3591" max="3591" width="11.7109375" style="42" bestFit="1" customWidth="1"/>
    <col min="3592" max="3840" width="9.140625" style="42"/>
    <col min="3841" max="3841" width="37.28515625" style="42" customWidth="1"/>
    <col min="3842" max="3842" width="18.42578125" style="42" bestFit="1" customWidth="1"/>
    <col min="3843" max="3846" width="12.42578125" style="42" bestFit="1" customWidth="1"/>
    <col min="3847" max="3847" width="11.7109375" style="42" bestFit="1" customWidth="1"/>
    <col min="3848" max="4096" width="9.140625" style="42"/>
    <col min="4097" max="4097" width="37.28515625" style="42" customWidth="1"/>
    <col min="4098" max="4098" width="18.42578125" style="42" bestFit="1" customWidth="1"/>
    <col min="4099" max="4102" width="12.42578125" style="42" bestFit="1" customWidth="1"/>
    <col min="4103" max="4103" width="11.7109375" style="42" bestFit="1" customWidth="1"/>
    <col min="4104" max="4352" width="9.140625" style="42"/>
    <col min="4353" max="4353" width="37.28515625" style="42" customWidth="1"/>
    <col min="4354" max="4354" width="18.42578125" style="42" bestFit="1" customWidth="1"/>
    <col min="4355" max="4358" width="12.42578125" style="42" bestFit="1" customWidth="1"/>
    <col min="4359" max="4359" width="11.7109375" style="42" bestFit="1" customWidth="1"/>
    <col min="4360" max="4608" width="9.140625" style="42"/>
    <col min="4609" max="4609" width="37.28515625" style="42" customWidth="1"/>
    <col min="4610" max="4610" width="18.42578125" style="42" bestFit="1" customWidth="1"/>
    <col min="4611" max="4614" width="12.42578125" style="42" bestFit="1" customWidth="1"/>
    <col min="4615" max="4615" width="11.7109375" style="42" bestFit="1" customWidth="1"/>
    <col min="4616" max="4864" width="9.140625" style="42"/>
    <col min="4865" max="4865" width="37.28515625" style="42" customWidth="1"/>
    <col min="4866" max="4866" width="18.42578125" style="42" bestFit="1" customWidth="1"/>
    <col min="4867" max="4870" width="12.42578125" style="42" bestFit="1" customWidth="1"/>
    <col min="4871" max="4871" width="11.7109375" style="42" bestFit="1" customWidth="1"/>
    <col min="4872" max="5120" width="9.140625" style="42"/>
    <col min="5121" max="5121" width="37.28515625" style="42" customWidth="1"/>
    <col min="5122" max="5122" width="18.42578125" style="42" bestFit="1" customWidth="1"/>
    <col min="5123" max="5126" width="12.42578125" style="42" bestFit="1" customWidth="1"/>
    <col min="5127" max="5127" width="11.7109375" style="42" bestFit="1" customWidth="1"/>
    <col min="5128" max="5376" width="9.140625" style="42"/>
    <col min="5377" max="5377" width="37.28515625" style="42" customWidth="1"/>
    <col min="5378" max="5378" width="18.42578125" style="42" bestFit="1" customWidth="1"/>
    <col min="5379" max="5382" width="12.42578125" style="42" bestFit="1" customWidth="1"/>
    <col min="5383" max="5383" width="11.7109375" style="42" bestFit="1" customWidth="1"/>
    <col min="5384" max="5632" width="9.140625" style="42"/>
    <col min="5633" max="5633" width="37.28515625" style="42" customWidth="1"/>
    <col min="5634" max="5634" width="18.42578125" style="42" bestFit="1" customWidth="1"/>
    <col min="5635" max="5638" width="12.42578125" style="42" bestFit="1" customWidth="1"/>
    <col min="5639" max="5639" width="11.7109375" style="42" bestFit="1" customWidth="1"/>
    <col min="5640" max="5888" width="9.140625" style="42"/>
    <col min="5889" max="5889" width="37.28515625" style="42" customWidth="1"/>
    <col min="5890" max="5890" width="18.42578125" style="42" bestFit="1" customWidth="1"/>
    <col min="5891" max="5894" width="12.42578125" style="42" bestFit="1" customWidth="1"/>
    <col min="5895" max="5895" width="11.7109375" style="42" bestFit="1" customWidth="1"/>
    <col min="5896" max="6144" width="9.140625" style="42"/>
    <col min="6145" max="6145" width="37.28515625" style="42" customWidth="1"/>
    <col min="6146" max="6146" width="18.42578125" style="42" bestFit="1" customWidth="1"/>
    <col min="6147" max="6150" width="12.42578125" style="42" bestFit="1" customWidth="1"/>
    <col min="6151" max="6151" width="11.7109375" style="42" bestFit="1" customWidth="1"/>
    <col min="6152" max="6400" width="9.140625" style="42"/>
    <col min="6401" max="6401" width="37.28515625" style="42" customWidth="1"/>
    <col min="6402" max="6402" width="18.42578125" style="42" bestFit="1" customWidth="1"/>
    <col min="6403" max="6406" width="12.42578125" style="42" bestFit="1" customWidth="1"/>
    <col min="6407" max="6407" width="11.7109375" style="42" bestFit="1" customWidth="1"/>
    <col min="6408" max="6656" width="9.140625" style="42"/>
    <col min="6657" max="6657" width="37.28515625" style="42" customWidth="1"/>
    <col min="6658" max="6658" width="18.42578125" style="42" bestFit="1" customWidth="1"/>
    <col min="6659" max="6662" width="12.42578125" style="42" bestFit="1" customWidth="1"/>
    <col min="6663" max="6663" width="11.7109375" style="42" bestFit="1" customWidth="1"/>
    <col min="6664" max="6912" width="9.140625" style="42"/>
    <col min="6913" max="6913" width="37.28515625" style="42" customWidth="1"/>
    <col min="6914" max="6914" width="18.42578125" style="42" bestFit="1" customWidth="1"/>
    <col min="6915" max="6918" width="12.42578125" style="42" bestFit="1" customWidth="1"/>
    <col min="6919" max="6919" width="11.7109375" style="42" bestFit="1" customWidth="1"/>
    <col min="6920" max="7168" width="9.140625" style="42"/>
    <col min="7169" max="7169" width="37.28515625" style="42" customWidth="1"/>
    <col min="7170" max="7170" width="18.42578125" style="42" bestFit="1" customWidth="1"/>
    <col min="7171" max="7174" width="12.42578125" style="42" bestFit="1" customWidth="1"/>
    <col min="7175" max="7175" width="11.7109375" style="42" bestFit="1" customWidth="1"/>
    <col min="7176" max="7424" width="9.140625" style="42"/>
    <col min="7425" max="7425" width="37.28515625" style="42" customWidth="1"/>
    <col min="7426" max="7426" width="18.42578125" style="42" bestFit="1" customWidth="1"/>
    <col min="7427" max="7430" width="12.42578125" style="42" bestFit="1" customWidth="1"/>
    <col min="7431" max="7431" width="11.7109375" style="42" bestFit="1" customWidth="1"/>
    <col min="7432" max="7680" width="9.140625" style="42"/>
    <col min="7681" max="7681" width="37.28515625" style="42" customWidth="1"/>
    <col min="7682" max="7682" width="18.42578125" style="42" bestFit="1" customWidth="1"/>
    <col min="7683" max="7686" width="12.42578125" style="42" bestFit="1" customWidth="1"/>
    <col min="7687" max="7687" width="11.7109375" style="42" bestFit="1" customWidth="1"/>
    <col min="7688" max="7936" width="9.140625" style="42"/>
    <col min="7937" max="7937" width="37.28515625" style="42" customWidth="1"/>
    <col min="7938" max="7938" width="18.42578125" style="42" bestFit="1" customWidth="1"/>
    <col min="7939" max="7942" width="12.42578125" style="42" bestFit="1" customWidth="1"/>
    <col min="7943" max="7943" width="11.7109375" style="42" bestFit="1" customWidth="1"/>
    <col min="7944" max="8192" width="9.140625" style="42"/>
    <col min="8193" max="8193" width="37.28515625" style="42" customWidth="1"/>
    <col min="8194" max="8194" width="18.42578125" style="42" bestFit="1" customWidth="1"/>
    <col min="8195" max="8198" width="12.42578125" style="42" bestFit="1" customWidth="1"/>
    <col min="8199" max="8199" width="11.7109375" style="42" bestFit="1" customWidth="1"/>
    <col min="8200" max="8448" width="9.140625" style="42"/>
    <col min="8449" max="8449" width="37.28515625" style="42" customWidth="1"/>
    <col min="8450" max="8450" width="18.42578125" style="42" bestFit="1" customWidth="1"/>
    <col min="8451" max="8454" width="12.42578125" style="42" bestFit="1" customWidth="1"/>
    <col min="8455" max="8455" width="11.7109375" style="42" bestFit="1" customWidth="1"/>
    <col min="8456" max="8704" width="9.140625" style="42"/>
    <col min="8705" max="8705" width="37.28515625" style="42" customWidth="1"/>
    <col min="8706" max="8706" width="18.42578125" style="42" bestFit="1" customWidth="1"/>
    <col min="8707" max="8710" width="12.42578125" style="42" bestFit="1" customWidth="1"/>
    <col min="8711" max="8711" width="11.7109375" style="42" bestFit="1" customWidth="1"/>
    <col min="8712" max="8960" width="9.140625" style="42"/>
    <col min="8961" max="8961" width="37.28515625" style="42" customWidth="1"/>
    <col min="8962" max="8962" width="18.42578125" style="42" bestFit="1" customWidth="1"/>
    <col min="8963" max="8966" width="12.42578125" style="42" bestFit="1" customWidth="1"/>
    <col min="8967" max="8967" width="11.7109375" style="42" bestFit="1" customWidth="1"/>
    <col min="8968" max="9216" width="9.140625" style="42"/>
    <col min="9217" max="9217" width="37.28515625" style="42" customWidth="1"/>
    <col min="9218" max="9218" width="18.42578125" style="42" bestFit="1" customWidth="1"/>
    <col min="9219" max="9222" width="12.42578125" style="42" bestFit="1" customWidth="1"/>
    <col min="9223" max="9223" width="11.7109375" style="42" bestFit="1" customWidth="1"/>
    <col min="9224" max="9472" width="9.140625" style="42"/>
    <col min="9473" max="9473" width="37.28515625" style="42" customWidth="1"/>
    <col min="9474" max="9474" width="18.42578125" style="42" bestFit="1" customWidth="1"/>
    <col min="9475" max="9478" width="12.42578125" style="42" bestFit="1" customWidth="1"/>
    <col min="9479" max="9479" width="11.7109375" style="42" bestFit="1" customWidth="1"/>
    <col min="9480" max="9728" width="9.140625" style="42"/>
    <col min="9729" max="9729" width="37.28515625" style="42" customWidth="1"/>
    <col min="9730" max="9730" width="18.42578125" style="42" bestFit="1" customWidth="1"/>
    <col min="9731" max="9734" width="12.42578125" style="42" bestFit="1" customWidth="1"/>
    <col min="9735" max="9735" width="11.7109375" style="42" bestFit="1" customWidth="1"/>
    <col min="9736" max="9984" width="9.140625" style="42"/>
    <col min="9985" max="9985" width="37.28515625" style="42" customWidth="1"/>
    <col min="9986" max="9986" width="18.42578125" style="42" bestFit="1" customWidth="1"/>
    <col min="9987" max="9990" width="12.42578125" style="42" bestFit="1" customWidth="1"/>
    <col min="9991" max="9991" width="11.7109375" style="42" bestFit="1" customWidth="1"/>
    <col min="9992" max="10240" width="9.140625" style="42"/>
    <col min="10241" max="10241" width="37.28515625" style="42" customWidth="1"/>
    <col min="10242" max="10242" width="18.42578125" style="42" bestFit="1" customWidth="1"/>
    <col min="10243" max="10246" width="12.42578125" style="42" bestFit="1" customWidth="1"/>
    <col min="10247" max="10247" width="11.7109375" style="42" bestFit="1" customWidth="1"/>
    <col min="10248" max="10496" width="9.140625" style="42"/>
    <col min="10497" max="10497" width="37.28515625" style="42" customWidth="1"/>
    <col min="10498" max="10498" width="18.42578125" style="42" bestFit="1" customWidth="1"/>
    <col min="10499" max="10502" width="12.42578125" style="42" bestFit="1" customWidth="1"/>
    <col min="10503" max="10503" width="11.7109375" style="42" bestFit="1" customWidth="1"/>
    <col min="10504" max="10752" width="9.140625" style="42"/>
    <col min="10753" max="10753" width="37.28515625" style="42" customWidth="1"/>
    <col min="10754" max="10754" width="18.42578125" style="42" bestFit="1" customWidth="1"/>
    <col min="10755" max="10758" width="12.42578125" style="42" bestFit="1" customWidth="1"/>
    <col min="10759" max="10759" width="11.7109375" style="42" bestFit="1" customWidth="1"/>
    <col min="10760" max="11008" width="9.140625" style="42"/>
    <col min="11009" max="11009" width="37.28515625" style="42" customWidth="1"/>
    <col min="11010" max="11010" width="18.42578125" style="42" bestFit="1" customWidth="1"/>
    <col min="11011" max="11014" width="12.42578125" style="42" bestFit="1" customWidth="1"/>
    <col min="11015" max="11015" width="11.7109375" style="42" bestFit="1" customWidth="1"/>
    <col min="11016" max="11264" width="9.140625" style="42"/>
    <col min="11265" max="11265" width="37.28515625" style="42" customWidth="1"/>
    <col min="11266" max="11266" width="18.42578125" style="42" bestFit="1" customWidth="1"/>
    <col min="11267" max="11270" width="12.42578125" style="42" bestFit="1" customWidth="1"/>
    <col min="11271" max="11271" width="11.7109375" style="42" bestFit="1" customWidth="1"/>
    <col min="11272" max="11520" width="9.140625" style="42"/>
    <col min="11521" max="11521" width="37.28515625" style="42" customWidth="1"/>
    <col min="11522" max="11522" width="18.42578125" style="42" bestFit="1" customWidth="1"/>
    <col min="11523" max="11526" width="12.42578125" style="42" bestFit="1" customWidth="1"/>
    <col min="11527" max="11527" width="11.7109375" style="42" bestFit="1" customWidth="1"/>
    <col min="11528" max="11776" width="9.140625" style="42"/>
    <col min="11777" max="11777" width="37.28515625" style="42" customWidth="1"/>
    <col min="11778" max="11778" width="18.42578125" style="42" bestFit="1" customWidth="1"/>
    <col min="11779" max="11782" width="12.42578125" style="42" bestFit="1" customWidth="1"/>
    <col min="11783" max="11783" width="11.7109375" style="42" bestFit="1" customWidth="1"/>
    <col min="11784" max="12032" width="9.140625" style="42"/>
    <col min="12033" max="12033" width="37.28515625" style="42" customWidth="1"/>
    <col min="12034" max="12034" width="18.42578125" style="42" bestFit="1" customWidth="1"/>
    <col min="12035" max="12038" width="12.42578125" style="42" bestFit="1" customWidth="1"/>
    <col min="12039" max="12039" width="11.7109375" style="42" bestFit="1" customWidth="1"/>
    <col min="12040" max="12288" width="9.140625" style="42"/>
    <col min="12289" max="12289" width="37.28515625" style="42" customWidth="1"/>
    <col min="12290" max="12290" width="18.42578125" style="42" bestFit="1" customWidth="1"/>
    <col min="12291" max="12294" width="12.42578125" style="42" bestFit="1" customWidth="1"/>
    <col min="12295" max="12295" width="11.7109375" style="42" bestFit="1" customWidth="1"/>
    <col min="12296" max="12544" width="9.140625" style="42"/>
    <col min="12545" max="12545" width="37.28515625" style="42" customWidth="1"/>
    <col min="12546" max="12546" width="18.42578125" style="42" bestFit="1" customWidth="1"/>
    <col min="12547" max="12550" width="12.42578125" style="42" bestFit="1" customWidth="1"/>
    <col min="12551" max="12551" width="11.7109375" style="42" bestFit="1" customWidth="1"/>
    <col min="12552" max="12800" width="9.140625" style="42"/>
    <col min="12801" max="12801" width="37.28515625" style="42" customWidth="1"/>
    <col min="12802" max="12802" width="18.42578125" style="42" bestFit="1" customWidth="1"/>
    <col min="12803" max="12806" width="12.42578125" style="42" bestFit="1" customWidth="1"/>
    <col min="12807" max="12807" width="11.7109375" style="42" bestFit="1" customWidth="1"/>
    <col min="12808" max="13056" width="9.140625" style="42"/>
    <col min="13057" max="13057" width="37.28515625" style="42" customWidth="1"/>
    <col min="13058" max="13058" width="18.42578125" style="42" bestFit="1" customWidth="1"/>
    <col min="13059" max="13062" width="12.42578125" style="42" bestFit="1" customWidth="1"/>
    <col min="13063" max="13063" width="11.7109375" style="42" bestFit="1" customWidth="1"/>
    <col min="13064" max="13312" width="9.140625" style="42"/>
    <col min="13313" max="13313" width="37.28515625" style="42" customWidth="1"/>
    <col min="13314" max="13314" width="18.42578125" style="42" bestFit="1" customWidth="1"/>
    <col min="13315" max="13318" width="12.42578125" style="42" bestFit="1" customWidth="1"/>
    <col min="13319" max="13319" width="11.7109375" style="42" bestFit="1" customWidth="1"/>
    <col min="13320" max="13568" width="9.140625" style="42"/>
    <col min="13569" max="13569" width="37.28515625" style="42" customWidth="1"/>
    <col min="13570" max="13570" width="18.42578125" style="42" bestFit="1" customWidth="1"/>
    <col min="13571" max="13574" width="12.42578125" style="42" bestFit="1" customWidth="1"/>
    <col min="13575" max="13575" width="11.7109375" style="42" bestFit="1" customWidth="1"/>
    <col min="13576" max="13824" width="9.140625" style="42"/>
    <col min="13825" max="13825" width="37.28515625" style="42" customWidth="1"/>
    <col min="13826" max="13826" width="18.42578125" style="42" bestFit="1" customWidth="1"/>
    <col min="13827" max="13830" width="12.42578125" style="42" bestFit="1" customWidth="1"/>
    <col min="13831" max="13831" width="11.7109375" style="42" bestFit="1" customWidth="1"/>
    <col min="13832" max="14080" width="9.140625" style="42"/>
    <col min="14081" max="14081" width="37.28515625" style="42" customWidth="1"/>
    <col min="14082" max="14082" width="18.42578125" style="42" bestFit="1" customWidth="1"/>
    <col min="14083" max="14086" width="12.42578125" style="42" bestFit="1" customWidth="1"/>
    <col min="14087" max="14087" width="11.7109375" style="42" bestFit="1" customWidth="1"/>
    <col min="14088" max="14336" width="9.140625" style="42"/>
    <col min="14337" max="14337" width="37.28515625" style="42" customWidth="1"/>
    <col min="14338" max="14338" width="18.42578125" style="42" bestFit="1" customWidth="1"/>
    <col min="14339" max="14342" width="12.42578125" style="42" bestFit="1" customWidth="1"/>
    <col min="14343" max="14343" width="11.7109375" style="42" bestFit="1" customWidth="1"/>
    <col min="14344" max="14592" width="9.140625" style="42"/>
    <col min="14593" max="14593" width="37.28515625" style="42" customWidth="1"/>
    <col min="14594" max="14594" width="18.42578125" style="42" bestFit="1" customWidth="1"/>
    <col min="14595" max="14598" width="12.42578125" style="42" bestFit="1" customWidth="1"/>
    <col min="14599" max="14599" width="11.7109375" style="42" bestFit="1" customWidth="1"/>
    <col min="14600" max="14848" width="9.140625" style="42"/>
    <col min="14849" max="14849" width="37.28515625" style="42" customWidth="1"/>
    <col min="14850" max="14850" width="18.42578125" style="42" bestFit="1" customWidth="1"/>
    <col min="14851" max="14854" width="12.42578125" style="42" bestFit="1" customWidth="1"/>
    <col min="14855" max="14855" width="11.7109375" style="42" bestFit="1" customWidth="1"/>
    <col min="14856" max="15104" width="9.140625" style="42"/>
    <col min="15105" max="15105" width="37.28515625" style="42" customWidth="1"/>
    <col min="15106" max="15106" width="18.42578125" style="42" bestFit="1" customWidth="1"/>
    <col min="15107" max="15110" width="12.42578125" style="42" bestFit="1" customWidth="1"/>
    <col min="15111" max="15111" width="11.7109375" style="42" bestFit="1" customWidth="1"/>
    <col min="15112" max="15360" width="9.140625" style="42"/>
    <col min="15361" max="15361" width="37.28515625" style="42" customWidth="1"/>
    <col min="15362" max="15362" width="18.42578125" style="42" bestFit="1" customWidth="1"/>
    <col min="15363" max="15366" width="12.42578125" style="42" bestFit="1" customWidth="1"/>
    <col min="15367" max="15367" width="11.7109375" style="42" bestFit="1" customWidth="1"/>
    <col min="15368" max="15616" width="9.140625" style="42"/>
    <col min="15617" max="15617" width="37.28515625" style="42" customWidth="1"/>
    <col min="15618" max="15618" width="18.42578125" style="42" bestFit="1" customWidth="1"/>
    <col min="15619" max="15622" width="12.42578125" style="42" bestFit="1" customWidth="1"/>
    <col min="15623" max="15623" width="11.7109375" style="42" bestFit="1" customWidth="1"/>
    <col min="15624" max="15872" width="9.140625" style="42"/>
    <col min="15873" max="15873" width="37.28515625" style="42" customWidth="1"/>
    <col min="15874" max="15874" width="18.42578125" style="42" bestFit="1" customWidth="1"/>
    <col min="15875" max="15878" width="12.42578125" style="42" bestFit="1" customWidth="1"/>
    <col min="15879" max="15879" width="11.7109375" style="42" bestFit="1" customWidth="1"/>
    <col min="15880" max="16128" width="9.140625" style="42"/>
    <col min="16129" max="16129" width="37.28515625" style="42" customWidth="1"/>
    <col min="16130" max="16130" width="18.42578125" style="42" bestFit="1" customWidth="1"/>
    <col min="16131" max="16134" width="12.42578125" style="42" bestFit="1" customWidth="1"/>
    <col min="16135" max="16135" width="11.7109375" style="42" bestFit="1" customWidth="1"/>
    <col min="16136" max="16384" width="9.140625" style="42"/>
  </cols>
  <sheetData>
    <row r="1" spans="1:18">
      <c r="A1" s="1128"/>
      <c r="B1" s="1128"/>
      <c r="C1" s="1128"/>
      <c r="D1" s="1128"/>
      <c r="E1" s="1128"/>
      <c r="F1" s="1128"/>
    </row>
    <row r="2" spans="1:18" ht="18.75">
      <c r="A2" s="1153" t="s">
        <v>556</v>
      </c>
      <c r="B2" s="724"/>
      <c r="C2" s="724"/>
      <c r="D2" s="724"/>
      <c r="E2" s="724"/>
      <c r="F2" s="724"/>
      <c r="G2" s="724"/>
      <c r="H2" s="724"/>
      <c r="I2" s="5"/>
    </row>
    <row r="3" spans="1:18">
      <c r="A3" s="61"/>
      <c r="B3" s="43"/>
      <c r="C3" s="43"/>
      <c r="D3" s="43"/>
      <c r="E3" s="43"/>
      <c r="F3" s="43"/>
    </row>
    <row r="4" spans="1:18">
      <c r="A4" s="89" t="s">
        <v>0</v>
      </c>
      <c r="B4" s="90" t="s">
        <v>2</v>
      </c>
      <c r="C4" s="90" t="s">
        <v>3</v>
      </c>
      <c r="D4" s="90" t="s">
        <v>4</v>
      </c>
      <c r="E4" s="90" t="s">
        <v>5</v>
      </c>
      <c r="F4" s="90" t="s">
        <v>6</v>
      </c>
      <c r="G4" s="91" t="s">
        <v>170</v>
      </c>
      <c r="H4" s="91" t="s">
        <v>169</v>
      </c>
    </row>
    <row r="5" spans="1:18">
      <c r="A5" s="92"/>
      <c r="B5" s="93"/>
      <c r="C5" s="94"/>
      <c r="D5" s="94"/>
      <c r="E5" s="94"/>
      <c r="F5" s="94"/>
      <c r="G5" s="94"/>
      <c r="H5" s="94"/>
    </row>
    <row r="6" spans="1:18">
      <c r="A6" s="95" t="s">
        <v>48</v>
      </c>
      <c r="B6" s="96"/>
      <c r="C6" s="96"/>
      <c r="D6" s="96"/>
      <c r="E6" s="96"/>
      <c r="F6" s="96"/>
      <c r="G6" s="96"/>
      <c r="H6" s="96"/>
    </row>
    <row r="7" spans="1:18">
      <c r="A7" s="97" t="s">
        <v>49</v>
      </c>
      <c r="B7" s="98"/>
      <c r="C7" s="98"/>
      <c r="D7" s="98"/>
      <c r="E7" s="98"/>
      <c r="F7" s="98"/>
      <c r="G7" s="98"/>
      <c r="H7" s="98"/>
    </row>
    <row r="8" spans="1:18">
      <c r="A8" s="99" t="s">
        <v>251</v>
      </c>
      <c r="B8" s="100">
        <f>'8.Cash Flow '!C39</f>
        <v>3893402.7792384923</v>
      </c>
      <c r="C8" s="100">
        <f>'8.Cash Flow '!D39</f>
        <v>8161811.9837734327</v>
      </c>
      <c r="D8" s="100">
        <f>'8.Cash Flow '!E39</f>
        <v>11371651.653786652</v>
      </c>
      <c r="E8" s="100">
        <f>'8.Cash Flow '!F39</f>
        <v>15597519.98366069</v>
      </c>
      <c r="F8" s="100">
        <f>'8.Cash Flow '!G39</f>
        <v>20989620.091219582</v>
      </c>
      <c r="G8" s="100">
        <f>'8.Cash Flow '!H39</f>
        <v>27498267.871768557</v>
      </c>
      <c r="H8" s="100">
        <f>'8.Cash Flow '!I39</f>
        <v>35335384.090879776</v>
      </c>
      <c r="K8" s="52"/>
      <c r="L8" s="52"/>
      <c r="M8" s="52"/>
      <c r="N8" s="52"/>
      <c r="O8" s="52"/>
      <c r="P8" s="52"/>
      <c r="Q8" s="52"/>
      <c r="R8" s="52"/>
    </row>
    <row r="9" spans="1:18">
      <c r="A9" s="101" t="s">
        <v>351</v>
      </c>
      <c r="B9" s="102">
        <f>+'5.Closing Stock &amp; W Capital'!E42</f>
        <v>2490295.8117965092</v>
      </c>
      <c r="C9" s="102">
        <f>+'5.Closing Stock &amp; W Capital'!F42</f>
        <v>2856748.4653010201</v>
      </c>
      <c r="D9" s="102">
        <f>+'5.Closing Stock &amp; W Capital'!G42</f>
        <v>3272275.5147993504</v>
      </c>
      <c r="E9" s="102">
        <f>+'5.Closing Stock &amp; W Capital'!H42</f>
        <v>3722213.3980842615</v>
      </c>
      <c r="F9" s="102">
        <f>+'5.Closing Stock &amp; W Capital'!I42</f>
        <v>4208964.3809106657</v>
      </c>
      <c r="G9" s="102">
        <f>+'5.Closing Stock &amp; W Capital'!J42</f>
        <v>4735084.9285244988</v>
      </c>
      <c r="H9" s="102">
        <f>+'5.Closing Stock &amp; W Capital'!K42</f>
        <v>5303295.11994744</v>
      </c>
      <c r="K9" s="52"/>
      <c r="L9" s="52"/>
      <c r="M9" s="52"/>
      <c r="N9" s="52"/>
      <c r="O9" s="52"/>
      <c r="P9" s="52"/>
      <c r="Q9" s="52"/>
      <c r="R9" s="52"/>
    </row>
    <row r="10" spans="1:18">
      <c r="A10" s="101" t="s">
        <v>252</v>
      </c>
      <c r="B10" s="102">
        <f>+'5.Closing Stock &amp; W Capital'!E41</f>
        <v>2258010.8565543126</v>
      </c>
      <c r="C10" s="102">
        <f>+'5.Closing Stock &amp; W Capital'!F41</f>
        <v>2672507.0781858126</v>
      </c>
      <c r="D10" s="102">
        <f>+'5.Closing Stock &amp; W Capital'!G41</f>
        <v>3059285.9316968271</v>
      </c>
      <c r="E10" s="102">
        <f>+'5.Closing Stock &amp; W Capital'!H41</f>
        <v>3479161.5181419943</v>
      </c>
      <c r="F10" s="102">
        <f>+'5.Closing Stock &amp; W Capital'!I41</f>
        <v>3933376.4484024365</v>
      </c>
      <c r="G10" s="102">
        <f>+'5.Closing Stock &amp; W Capital'!J41</f>
        <v>4420790.3327839803</v>
      </c>
      <c r="H10" s="102">
        <f>+'5.Closing Stock &amp; W Capital'!K41</f>
        <v>4947112.1644826699</v>
      </c>
      <c r="K10" s="52"/>
      <c r="L10" s="52"/>
      <c r="M10" s="52"/>
      <c r="N10" s="52"/>
      <c r="O10" s="52"/>
      <c r="P10" s="52"/>
      <c r="Q10" s="52"/>
      <c r="R10" s="52"/>
    </row>
    <row r="11" spans="1:18">
      <c r="A11" s="101" t="s">
        <v>573</v>
      </c>
      <c r="B11" s="102">
        <v>2000000</v>
      </c>
      <c r="C11" s="102">
        <v>2500000</v>
      </c>
      <c r="D11" s="102">
        <v>5000000</v>
      </c>
      <c r="E11" s="102">
        <v>7500000</v>
      </c>
      <c r="F11" s="102">
        <v>10000000</v>
      </c>
      <c r="G11" s="102">
        <v>12500000</v>
      </c>
      <c r="H11" s="102">
        <v>15000000</v>
      </c>
      <c r="K11" s="52"/>
      <c r="L11" s="52"/>
      <c r="M11" s="52"/>
      <c r="N11" s="52"/>
      <c r="O11" s="52"/>
      <c r="P11" s="52"/>
      <c r="Q11" s="52"/>
      <c r="R11" s="52"/>
    </row>
    <row r="12" spans="1:18">
      <c r="A12" s="97" t="s">
        <v>253</v>
      </c>
      <c r="B12" s="100">
        <f t="shared" ref="B12:H12" si="0">SUM(B8:B11)</f>
        <v>10641709.447589314</v>
      </c>
      <c r="C12" s="100">
        <f t="shared" si="0"/>
        <v>16191067.527260266</v>
      </c>
      <c r="D12" s="100">
        <f t="shared" si="0"/>
        <v>22703213.100282829</v>
      </c>
      <c r="E12" s="100">
        <f t="shared" si="0"/>
        <v>30298894.899886943</v>
      </c>
      <c r="F12" s="100">
        <f t="shared" si="0"/>
        <v>39131960.920532681</v>
      </c>
      <c r="G12" s="100">
        <f t="shared" si="0"/>
        <v>49154143.133077033</v>
      </c>
      <c r="H12" s="100">
        <f t="shared" si="0"/>
        <v>60585791.375309885</v>
      </c>
    </row>
    <row r="13" spans="1:18">
      <c r="A13" s="97"/>
      <c r="B13" s="102"/>
      <c r="C13" s="102"/>
      <c r="D13" s="102"/>
      <c r="E13" s="102"/>
      <c r="F13" s="102"/>
      <c r="G13" s="102"/>
      <c r="H13" s="102"/>
      <c r="J13" s="52"/>
      <c r="K13" s="52"/>
      <c r="L13" s="52"/>
      <c r="M13" s="52"/>
      <c r="N13" s="52"/>
      <c r="O13" s="52"/>
      <c r="P13" s="52"/>
      <c r="Q13" s="52"/>
    </row>
    <row r="14" spans="1:18">
      <c r="A14" s="103" t="s">
        <v>254</v>
      </c>
      <c r="B14" s="102">
        <f>'3.Other Exp &amp; Taxes (2)'!C62</f>
        <v>37132432.961199999</v>
      </c>
      <c r="C14" s="102">
        <f>'3.Other Exp &amp; Taxes (2)'!D62</f>
        <v>35382492.154756039</v>
      </c>
      <c r="D14" s="102">
        <f>'3.Other Exp &amp; Taxes (2)'!E62</f>
        <v>33632551.34831208</v>
      </c>
      <c r="E14" s="102">
        <f>'3.Other Exp &amp; Taxes (2)'!F62</f>
        <v>31882610.541868124</v>
      </c>
      <c r="F14" s="102">
        <f>'3.Other Exp &amp; Taxes (2)'!G62</f>
        <v>30132669.735424165</v>
      </c>
      <c r="G14" s="102">
        <f>'3.Other Exp &amp; Taxes (2)'!H62</f>
        <v>28382728.928980205</v>
      </c>
      <c r="H14" s="102">
        <f>'3.Other Exp &amp; Taxes (2)'!I62</f>
        <v>26632788.122536246</v>
      </c>
    </row>
    <row r="15" spans="1:18">
      <c r="A15" s="103" t="s">
        <v>255</v>
      </c>
      <c r="B15" s="102">
        <f>'3.Other Exp &amp; Taxes (2)'!C63</f>
        <v>1749940.8064439599</v>
      </c>
      <c r="C15" s="102">
        <f>'3.Other Exp &amp; Taxes (2)'!D63</f>
        <v>1749940.8064439599</v>
      </c>
      <c r="D15" s="102">
        <f>'3.Other Exp &amp; Taxes (2)'!E63</f>
        <v>1749940.8064439599</v>
      </c>
      <c r="E15" s="102">
        <f>'3.Other Exp &amp; Taxes (2)'!F63</f>
        <v>1749940.8064439599</v>
      </c>
      <c r="F15" s="102">
        <f>'3.Other Exp &amp; Taxes (2)'!G63</f>
        <v>1749940.8064439599</v>
      </c>
      <c r="G15" s="102">
        <f>'3.Other Exp &amp; Taxes (2)'!H63</f>
        <v>1749940.8064439599</v>
      </c>
      <c r="H15" s="102">
        <f>'3.Other Exp &amp; Taxes (2)'!I63</f>
        <v>1749940.8064439599</v>
      </c>
      <c r="K15" s="52"/>
      <c r="L15" s="52"/>
      <c r="M15" s="52"/>
      <c r="N15" s="52"/>
      <c r="O15" s="52"/>
      <c r="P15" s="52"/>
      <c r="Q15" s="52"/>
    </row>
    <row r="16" spans="1:18" s="43" customFormat="1">
      <c r="A16" s="97" t="s">
        <v>200</v>
      </c>
      <c r="B16" s="100">
        <f t="shared" ref="B16:H16" si="1">B14-B15</f>
        <v>35382492.154756039</v>
      </c>
      <c r="C16" s="100">
        <f t="shared" si="1"/>
        <v>33632551.34831208</v>
      </c>
      <c r="D16" s="100">
        <f t="shared" si="1"/>
        <v>31882610.54186812</v>
      </c>
      <c r="E16" s="100">
        <f t="shared" si="1"/>
        <v>30132669.735424165</v>
      </c>
      <c r="F16" s="100">
        <f t="shared" si="1"/>
        <v>28382728.928980205</v>
      </c>
      <c r="G16" s="100">
        <f t="shared" si="1"/>
        <v>26632788.122536246</v>
      </c>
      <c r="H16" s="100">
        <f t="shared" si="1"/>
        <v>24882847.316092286</v>
      </c>
    </row>
    <row r="17" spans="1:8" s="43" customFormat="1">
      <c r="A17" s="97"/>
      <c r="B17" s="100"/>
      <c r="C17" s="100"/>
      <c r="D17" s="100"/>
      <c r="E17" s="100"/>
      <c r="F17" s="100"/>
      <c r="G17" s="100"/>
      <c r="H17" s="100"/>
    </row>
    <row r="18" spans="1:8" s="43" customFormat="1">
      <c r="A18" s="104"/>
      <c r="B18" s="100"/>
      <c r="C18" s="100"/>
      <c r="D18" s="100"/>
      <c r="E18" s="100"/>
      <c r="F18" s="100"/>
      <c r="G18" s="100"/>
      <c r="H18" s="100"/>
    </row>
    <row r="19" spans="1:8" s="43" customFormat="1">
      <c r="A19" s="97" t="s">
        <v>512</v>
      </c>
      <c r="B19" s="100">
        <f>'8.Cash Flow '!C21-'6.Cons Profit &amp; Loss'!B48</f>
        <v>1506562.4</v>
      </c>
      <c r="C19" s="100">
        <f>B19-'6.Cons Profit &amp; Loss'!C48</f>
        <v>1129921.7999999998</v>
      </c>
      <c r="D19" s="100">
        <f>C19-'6.Cons Profit &amp; Loss'!D48</f>
        <v>753281.19999999984</v>
      </c>
      <c r="E19" s="100">
        <f>D19-'6.Cons Profit &amp; Loss'!E48</f>
        <v>376640.59999999986</v>
      </c>
      <c r="F19" s="100">
        <f>E19-'6.Cons Profit &amp; Loss'!F48</f>
        <v>0</v>
      </c>
      <c r="G19" s="100">
        <f>F19-'6.Cons Profit &amp; Loss'!G48</f>
        <v>0</v>
      </c>
      <c r="H19" s="100">
        <f>G19-'6.Cons Profit &amp; Loss'!H48</f>
        <v>0</v>
      </c>
    </row>
    <row r="20" spans="1:8">
      <c r="A20" s="103"/>
      <c r="B20" s="102"/>
      <c r="C20" s="102"/>
      <c r="D20" s="102"/>
      <c r="E20" s="102"/>
      <c r="F20" s="102"/>
      <c r="G20" s="102"/>
      <c r="H20" s="102"/>
    </row>
    <row r="21" spans="1:8">
      <c r="A21" s="104" t="s">
        <v>257</v>
      </c>
      <c r="B21" s="105">
        <f t="shared" ref="B21:H21" si="2">B12+B16+B18+B19</f>
        <v>47530764.002345353</v>
      </c>
      <c r="C21" s="105">
        <f t="shared" si="2"/>
        <v>50953540.675572343</v>
      </c>
      <c r="D21" s="105">
        <f t="shared" si="2"/>
        <v>55339104.842150956</v>
      </c>
      <c r="E21" s="105">
        <f t="shared" si="2"/>
        <v>60808205.235311113</v>
      </c>
      <c r="F21" s="105">
        <f t="shared" si="2"/>
        <v>67514689.84951289</v>
      </c>
      <c r="G21" s="105">
        <f t="shared" si="2"/>
        <v>75786931.255613282</v>
      </c>
      <c r="H21" s="105">
        <f t="shared" si="2"/>
        <v>85468638.691402167</v>
      </c>
    </row>
    <row r="22" spans="1:8">
      <c r="A22" s="92"/>
      <c r="B22" s="106"/>
      <c r="C22" s="106"/>
      <c r="D22" s="106"/>
      <c r="E22" s="106"/>
      <c r="F22" s="106"/>
      <c r="G22" s="106"/>
      <c r="H22" s="106"/>
    </row>
    <row r="23" spans="1:8">
      <c r="A23" s="95" t="s">
        <v>258</v>
      </c>
      <c r="B23" s="107"/>
      <c r="C23" s="107"/>
      <c r="D23" s="107"/>
      <c r="E23" s="107"/>
      <c r="F23" s="107"/>
      <c r="G23" s="107"/>
      <c r="H23" s="107"/>
    </row>
    <row r="24" spans="1:8">
      <c r="A24" s="97" t="s">
        <v>259</v>
      </c>
      <c r="B24" s="107"/>
      <c r="C24" s="107"/>
      <c r="D24" s="107"/>
      <c r="E24" s="107"/>
      <c r="F24" s="107"/>
      <c r="G24" s="107"/>
      <c r="H24" s="107"/>
    </row>
    <row r="25" spans="1:8">
      <c r="A25" s="101" t="s">
        <v>260</v>
      </c>
      <c r="B25" s="102">
        <f>+'5.Closing Stock &amp; W Capital'!E55</f>
        <v>3822764.0078026489</v>
      </c>
      <c r="C25" s="102">
        <f>+'5.Closing Stock &amp; W Capital'!F55</f>
        <v>4420926.495171464</v>
      </c>
      <c r="D25" s="102">
        <f>+'5.Closing Stock &amp; W Capital'!G55</f>
        <v>5063074.4343657102</v>
      </c>
      <c r="E25" s="102">
        <f>+'5.Closing Stock &amp; W Capital'!H55</f>
        <v>5759127.2018865161</v>
      </c>
      <c r="F25" s="102">
        <f>+'5.Closing Stock &amp; W Capital'!I55</f>
        <v>6512127.5600734893</v>
      </c>
      <c r="G25" s="102">
        <f>+'5.Closing Stock &amp; W Capital'!J55</f>
        <v>7322505.5009648558</v>
      </c>
      <c r="H25" s="102">
        <f>+'5.Closing Stock &amp; W Capital'!K55</f>
        <v>8197640.9170451704</v>
      </c>
    </row>
    <row r="26" spans="1:8">
      <c r="A26" s="101" t="s">
        <v>261</v>
      </c>
      <c r="B26" s="106">
        <f>+'5.Closing Stock &amp; W Capital'!E54</f>
        <v>925542.66054817231</v>
      </c>
      <c r="C26" s="106">
        <f>+'5.Closing Stock &amp; W Capital'!F54</f>
        <v>1108329.0483153684</v>
      </c>
      <c r="D26" s="106">
        <f>+'5.Closing Stock &amp; W Capital'!G54</f>
        <v>1268487.0121304672</v>
      </c>
      <c r="E26" s="106">
        <f>+'5.Closing Stock &amp; W Capital'!H54</f>
        <v>1442247.7143397394</v>
      </c>
      <c r="F26" s="106">
        <f>+'5.Closing Stock &amp; W Capital'!I54</f>
        <v>1630213.2692396126</v>
      </c>
      <c r="G26" s="106">
        <f>+'5.Closing Stock &amp; W Capital'!J54</f>
        <v>1833369.760343624</v>
      </c>
      <c r="H26" s="106">
        <f>+'5.Closing Stock &amp; W Capital'!K54</f>
        <v>2052766.3673849383</v>
      </c>
    </row>
    <row r="27" spans="1:8">
      <c r="A27" s="101" t="s">
        <v>262</v>
      </c>
      <c r="B27" s="102"/>
      <c r="C27" s="102"/>
      <c r="D27" s="102"/>
      <c r="E27" s="102"/>
      <c r="F27" s="102"/>
      <c r="G27" s="102"/>
      <c r="H27" s="102"/>
    </row>
    <row r="28" spans="1:8">
      <c r="A28" s="97" t="s">
        <v>263</v>
      </c>
      <c r="B28" s="105">
        <f t="shared" ref="B28:H28" si="3">SUM(B25:B27)</f>
        <v>4748306.6683508214</v>
      </c>
      <c r="C28" s="105">
        <f t="shared" si="3"/>
        <v>5529255.5434868326</v>
      </c>
      <c r="D28" s="105">
        <f t="shared" si="3"/>
        <v>6331561.4464961775</v>
      </c>
      <c r="E28" s="105">
        <f t="shared" si="3"/>
        <v>7201374.9162262557</v>
      </c>
      <c r="F28" s="105">
        <f t="shared" si="3"/>
        <v>8142340.8293131022</v>
      </c>
      <c r="G28" s="105">
        <f t="shared" si="3"/>
        <v>9155875.2613084801</v>
      </c>
      <c r="H28" s="105">
        <f t="shared" si="3"/>
        <v>10250407.284430109</v>
      </c>
    </row>
    <row r="29" spans="1:8">
      <c r="A29" s="97" t="s">
        <v>264</v>
      </c>
      <c r="B29" s="105">
        <f>'4.TL repayment sch'!G21</f>
        <v>14321412.054039637</v>
      </c>
      <c r="C29" s="105">
        <f>'4.TL repayment sch'!G33</f>
        <v>12586797.682416175</v>
      </c>
      <c r="D29" s="105">
        <f>'4.TL repayment sch'!G45</f>
        <v>10632190.790844221</v>
      </c>
      <c r="E29" s="105">
        <f>'4.TL repayment sch'!G57</f>
        <v>8429690.821352493</v>
      </c>
      <c r="F29" s="105">
        <f>'4.TL repayment sch'!G69</f>
        <v>5947858.7268643165</v>
      </c>
      <c r="G29" s="105">
        <f>'4.TL repayment sch'!G81</f>
        <v>3151268.2022101865</v>
      </c>
      <c r="H29" s="105">
        <f>+'4.TL repayment sch'!G93</f>
        <v>1.5657860785722733E-8</v>
      </c>
    </row>
    <row r="30" spans="1:8">
      <c r="A30" s="97" t="s">
        <v>265</v>
      </c>
      <c r="B30" s="105"/>
      <c r="C30" s="105"/>
      <c r="D30" s="105"/>
      <c r="E30" s="105"/>
      <c r="F30" s="105"/>
      <c r="G30" s="105"/>
      <c r="H30" s="105"/>
    </row>
    <row r="31" spans="1:8">
      <c r="A31" s="97"/>
      <c r="B31" s="108"/>
      <c r="C31" s="108"/>
      <c r="D31" s="108"/>
      <c r="E31" s="108"/>
      <c r="F31" s="108"/>
      <c r="G31" s="108"/>
      <c r="H31" s="108"/>
    </row>
    <row r="32" spans="1:8">
      <c r="A32" s="104" t="s">
        <v>266</v>
      </c>
      <c r="B32" s="105">
        <f t="shared" ref="B32:H32" si="4">SUM(B28:B30)</f>
        <v>19069718.722390458</v>
      </c>
      <c r="C32" s="105">
        <f t="shared" si="4"/>
        <v>18116053.225903008</v>
      </c>
      <c r="D32" s="105">
        <f t="shared" si="4"/>
        <v>16963752.237340398</v>
      </c>
      <c r="E32" s="105">
        <f t="shared" si="4"/>
        <v>15631065.73757875</v>
      </c>
      <c r="F32" s="105">
        <f t="shared" si="4"/>
        <v>14090199.556177419</v>
      </c>
      <c r="G32" s="105">
        <f t="shared" si="4"/>
        <v>12307143.463518666</v>
      </c>
      <c r="H32" s="105">
        <f t="shared" si="4"/>
        <v>10250407.284430124</v>
      </c>
    </row>
    <row r="33" spans="1:8">
      <c r="A33" s="92"/>
      <c r="B33" s="109"/>
      <c r="C33" s="109"/>
      <c r="D33" s="109"/>
      <c r="E33" s="109"/>
      <c r="F33" s="109"/>
      <c r="G33" s="109"/>
      <c r="H33" s="109"/>
    </row>
    <row r="34" spans="1:8">
      <c r="A34" s="103" t="s">
        <v>267</v>
      </c>
      <c r="B34" s="102">
        <f>+'1.Project Cost and MOF (2)'!F21</f>
        <v>4857254.5980706625</v>
      </c>
      <c r="C34" s="102">
        <f>B34</f>
        <v>4857254.5980706625</v>
      </c>
      <c r="D34" s="102">
        <f t="shared" ref="D34:H35" si="5">C34</f>
        <v>4857254.5980706625</v>
      </c>
      <c r="E34" s="102">
        <f t="shared" si="5"/>
        <v>4857254.5980706625</v>
      </c>
      <c r="F34" s="102">
        <f t="shared" si="5"/>
        <v>4857254.5980706625</v>
      </c>
      <c r="G34" s="102">
        <f t="shared" si="5"/>
        <v>4857254.5980706625</v>
      </c>
      <c r="H34" s="102">
        <f t="shared" si="5"/>
        <v>4857254.5980706625</v>
      </c>
    </row>
    <row r="35" spans="1:8">
      <c r="A35" s="103" t="s">
        <v>513</v>
      </c>
      <c r="B35" s="102">
        <f>'1.Project Cost and MOF (2)'!F19</f>
        <v>20000000</v>
      </c>
      <c r="C35" s="102">
        <f>B35</f>
        <v>20000000</v>
      </c>
      <c r="D35" s="102">
        <f t="shared" si="5"/>
        <v>20000000</v>
      </c>
      <c r="E35" s="102">
        <f t="shared" si="5"/>
        <v>20000000</v>
      </c>
      <c r="F35" s="102">
        <f t="shared" si="5"/>
        <v>20000000</v>
      </c>
      <c r="G35" s="102">
        <f t="shared" si="5"/>
        <v>20000000</v>
      </c>
      <c r="H35" s="102">
        <f t="shared" si="5"/>
        <v>20000000</v>
      </c>
    </row>
    <row r="36" spans="1:8">
      <c r="A36" s="97" t="s">
        <v>268</v>
      </c>
      <c r="B36" s="102"/>
      <c r="C36" s="102"/>
      <c r="D36" s="102"/>
      <c r="E36" s="102"/>
      <c r="F36" s="102"/>
      <c r="G36" s="102"/>
      <c r="H36" s="102"/>
    </row>
    <row r="37" spans="1:8">
      <c r="A37" s="103" t="s">
        <v>269</v>
      </c>
      <c r="B37" s="102">
        <v>0</v>
      </c>
      <c r="C37" s="102">
        <f t="shared" ref="C37:H37" si="6">B40</f>
        <v>3603790.6818842422</v>
      </c>
      <c r="D37" s="102">
        <f t="shared" si="6"/>
        <v>7980232.8515986791</v>
      </c>
      <c r="E37" s="102">
        <f t="shared" si="6"/>
        <v>13518098.006739901</v>
      </c>
      <c r="F37" s="102">
        <f t="shared" si="6"/>
        <v>20319884.899661697</v>
      </c>
      <c r="G37" s="102">
        <f t="shared" si="6"/>
        <v>28567235.695264809</v>
      </c>
      <c r="H37" s="102">
        <f t="shared" si="6"/>
        <v>38622533.194023967</v>
      </c>
    </row>
    <row r="38" spans="1:8">
      <c r="A38" s="103" t="s">
        <v>270</v>
      </c>
      <c r="B38" s="102">
        <f>'6.Cons Profit &amp; Loss'!B58</f>
        <v>3603790.6818842422</v>
      </c>
      <c r="C38" s="102">
        <f>'6.Cons Profit &amp; Loss'!C56</f>
        <v>4376442.1697144369</v>
      </c>
      <c r="D38" s="102">
        <f>'6.Cons Profit &amp; Loss'!D56</f>
        <v>5537865.1551412223</v>
      </c>
      <c r="E38" s="102">
        <f>'6.Cons Profit &amp; Loss'!E56</f>
        <v>6801786.892921797</v>
      </c>
      <c r="F38" s="102">
        <f>'6.Cons Profit &amp; Loss'!F56</f>
        <v>8247350.7956031095</v>
      </c>
      <c r="G38" s="102">
        <f>'6.Cons Profit &amp; Loss'!G56</f>
        <v>10055297.498759158</v>
      </c>
      <c r="H38" s="102">
        <f>'6.Cons Profit &amp; Loss'!H56</f>
        <v>11738443.61487742</v>
      </c>
    </row>
    <row r="39" spans="1:8">
      <c r="A39" s="103" t="s">
        <v>271</v>
      </c>
      <c r="B39" s="102"/>
      <c r="C39" s="102"/>
      <c r="D39" s="102"/>
      <c r="E39" s="102"/>
      <c r="F39" s="102"/>
      <c r="G39" s="102"/>
      <c r="H39" s="102"/>
    </row>
    <row r="40" spans="1:8">
      <c r="A40" s="103" t="s">
        <v>272</v>
      </c>
      <c r="B40" s="102">
        <f t="shared" ref="B40:H40" si="7">B37+B38-B39</f>
        <v>3603790.6818842422</v>
      </c>
      <c r="C40" s="102">
        <f t="shared" si="7"/>
        <v>7980232.8515986791</v>
      </c>
      <c r="D40" s="102">
        <f t="shared" si="7"/>
        <v>13518098.006739901</v>
      </c>
      <c r="E40" s="102">
        <f t="shared" si="7"/>
        <v>20319884.899661697</v>
      </c>
      <c r="F40" s="102">
        <f t="shared" si="7"/>
        <v>28567235.695264809</v>
      </c>
      <c r="G40" s="102">
        <f t="shared" si="7"/>
        <v>38622533.194023967</v>
      </c>
      <c r="H40" s="102">
        <f t="shared" si="7"/>
        <v>50360976.808901384</v>
      </c>
    </row>
    <row r="41" spans="1:8">
      <c r="A41" s="103"/>
      <c r="B41" s="107"/>
      <c r="C41" s="107"/>
      <c r="D41" s="107"/>
      <c r="E41" s="107"/>
      <c r="F41" s="107"/>
      <c r="G41" s="107"/>
      <c r="H41" s="107"/>
    </row>
    <row r="42" spans="1:8">
      <c r="A42" s="110" t="s">
        <v>273</v>
      </c>
      <c r="B42" s="111">
        <f t="shared" ref="B42:H42" si="8">B34+B40+B35</f>
        <v>28461045.279954903</v>
      </c>
      <c r="C42" s="111">
        <f t="shared" si="8"/>
        <v>32837487.449669342</v>
      </c>
      <c r="D42" s="111">
        <f t="shared" si="8"/>
        <v>38375352.604810566</v>
      </c>
      <c r="E42" s="111">
        <f t="shared" si="8"/>
        <v>45177139.497732356</v>
      </c>
      <c r="F42" s="111">
        <f t="shared" si="8"/>
        <v>53424490.293335468</v>
      </c>
      <c r="G42" s="111">
        <f t="shared" si="8"/>
        <v>63479787.792094633</v>
      </c>
      <c r="H42" s="111">
        <f t="shared" si="8"/>
        <v>75218231.406972051</v>
      </c>
    </row>
    <row r="43" spans="1:8">
      <c r="A43" s="92"/>
      <c r="B43" s="102"/>
      <c r="C43" s="102"/>
      <c r="D43" s="102"/>
      <c r="E43" s="102"/>
      <c r="F43" s="102"/>
      <c r="G43" s="102"/>
      <c r="H43" s="102"/>
    </row>
    <row r="44" spans="1:8">
      <c r="A44" s="104" t="s">
        <v>274</v>
      </c>
      <c r="B44" s="105">
        <f t="shared" ref="B44:H44" si="9">B32+B42</f>
        <v>47530764.002345361</v>
      </c>
      <c r="C44" s="105">
        <f t="shared" si="9"/>
        <v>50953540.675572351</v>
      </c>
      <c r="D44" s="105">
        <f t="shared" si="9"/>
        <v>55339104.842150964</v>
      </c>
      <c r="E44" s="105">
        <f t="shared" si="9"/>
        <v>60808205.235311106</v>
      </c>
      <c r="F44" s="105">
        <f t="shared" si="9"/>
        <v>67514689.84951289</v>
      </c>
      <c r="G44" s="105">
        <f t="shared" si="9"/>
        <v>75786931.255613297</v>
      </c>
      <c r="H44" s="105">
        <f t="shared" si="9"/>
        <v>85468638.691402167</v>
      </c>
    </row>
    <row r="45" spans="1:8">
      <c r="A45" s="92"/>
      <c r="B45" s="112"/>
      <c r="C45" s="112"/>
      <c r="D45" s="112"/>
      <c r="E45" s="112"/>
      <c r="F45" s="112"/>
      <c r="G45" s="112"/>
      <c r="H45" s="112"/>
    </row>
    <row r="46" spans="1:8">
      <c r="A46" s="113" t="s">
        <v>275</v>
      </c>
      <c r="B46" s="114"/>
      <c r="C46" s="114"/>
      <c r="D46" s="114"/>
      <c r="E46" s="114"/>
      <c r="F46" s="114"/>
      <c r="G46" s="114"/>
      <c r="H46" s="114"/>
    </row>
    <row r="47" spans="1:8">
      <c r="A47" s="115" t="s">
        <v>276</v>
      </c>
      <c r="B47" s="116">
        <f>B44-B21</f>
        <v>0</v>
      </c>
      <c r="C47" s="116">
        <f t="shared" ref="C47:H47" si="10">C44-C21</f>
        <v>0</v>
      </c>
      <c r="D47" s="116">
        <f t="shared" si="10"/>
        <v>0</v>
      </c>
      <c r="E47" s="116">
        <f t="shared" si="10"/>
        <v>0</v>
      </c>
      <c r="F47" s="116">
        <f t="shared" si="10"/>
        <v>0</v>
      </c>
      <c r="G47" s="116">
        <f t="shared" si="10"/>
        <v>0</v>
      </c>
      <c r="H47" s="116">
        <f t="shared" si="10"/>
        <v>0</v>
      </c>
    </row>
    <row r="48" spans="1:8">
      <c r="A48" s="115"/>
      <c r="B48" s="116"/>
      <c r="C48" s="116"/>
      <c r="D48" s="116"/>
      <c r="E48" s="116"/>
      <c r="F48" s="116"/>
      <c r="G48" s="116"/>
      <c r="H48" s="116"/>
    </row>
    <row r="49" spans="1:9" ht="15.75" thickBot="1">
      <c r="A49" s="117"/>
      <c r="B49" s="118"/>
      <c r="C49" s="118"/>
      <c r="D49" s="118"/>
      <c r="E49" s="118"/>
      <c r="F49" s="118"/>
      <c r="G49" s="118"/>
      <c r="H49" s="118"/>
    </row>
    <row r="50" spans="1:9">
      <c r="B50" s="44"/>
      <c r="C50" s="44"/>
      <c r="D50" s="44"/>
      <c r="E50" s="44"/>
      <c r="F50" s="44"/>
      <c r="G50" s="44"/>
      <c r="H50" s="44"/>
    </row>
    <row r="51" spans="1:9" ht="47.25" customHeight="1">
      <c r="A51" s="1154" t="s">
        <v>411</v>
      </c>
      <c r="B51" s="1154"/>
      <c r="C51" s="1154"/>
      <c r="D51" s="1154"/>
      <c r="E51" s="1154"/>
      <c r="F51" s="1154"/>
      <c r="G51" s="1154"/>
      <c r="H51" s="1154"/>
      <c r="I51" s="589"/>
    </row>
  </sheetData>
  <mergeCells count="3">
    <mergeCell ref="A1:F1"/>
    <mergeCell ref="A2:H2"/>
    <mergeCell ref="A51:H51"/>
  </mergeCells>
  <conditionalFormatting sqref="B37:F38 B38:H38 B39">
    <cfRule type="cellIs" dxfId="3" priority="4" operator="lessThan">
      <formula>0</formula>
    </cfRule>
  </conditionalFormatting>
  <conditionalFormatting sqref="G37:G38">
    <cfRule type="cellIs" dxfId="2" priority="3" operator="lessThan">
      <formula>0</formula>
    </cfRule>
  </conditionalFormatting>
  <conditionalFormatting sqref="H37:H38">
    <cfRule type="cellIs" dxfId="1" priority="2" operator="lessThan">
      <formula>0</formula>
    </cfRule>
  </conditionalFormatting>
  <conditionalFormatting sqref="C39:H39">
    <cfRule type="cellIs" dxfId="0" priority="1" operator="lessThan">
      <formula>0</formula>
    </cfRule>
  </conditionalFormatting>
  <pageMargins left="0.95" right="0.7" top="0.75" bottom="0.75" header="0.3" footer="0.3"/>
  <pageSetup scale="6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view="pageBreakPreview" topLeftCell="A4" zoomScale="80" zoomScaleSheetLayoutView="80" workbookViewId="0">
      <selection activeCell="B4" sqref="A4:I39"/>
    </sheetView>
  </sheetViews>
  <sheetFormatPr defaultRowHeight="15"/>
  <cols>
    <col min="1" max="1" width="3.5703125" bestFit="1" customWidth="1"/>
    <col min="2" max="2" width="35.7109375" bestFit="1" customWidth="1"/>
    <col min="3" max="3" width="15.5703125" customWidth="1"/>
    <col min="4" max="4" width="15.7109375" customWidth="1"/>
    <col min="5" max="5" width="14.5703125" customWidth="1"/>
    <col min="6" max="6" width="14.7109375" customWidth="1"/>
    <col min="7" max="7" width="18.85546875" customWidth="1"/>
    <col min="8" max="9" width="14.85546875" bestFit="1" customWidth="1"/>
    <col min="13" max="13" width="10.140625" bestFit="1" customWidth="1"/>
  </cols>
  <sheetData>
    <row r="1" spans="1:10">
      <c r="A1" s="1128"/>
      <c r="B1" s="1128"/>
      <c r="C1" s="1128"/>
      <c r="D1" s="1128"/>
      <c r="E1" s="1128"/>
      <c r="F1" s="1128"/>
      <c r="G1" s="1128"/>
    </row>
    <row r="2" spans="1:10" ht="18.75">
      <c r="A2" s="724" t="s">
        <v>557</v>
      </c>
      <c r="B2" s="724"/>
      <c r="C2" s="724"/>
      <c r="D2" s="724"/>
      <c r="E2" s="724"/>
      <c r="F2" s="724"/>
      <c r="G2" s="724"/>
      <c r="H2" s="724"/>
      <c r="I2" s="724"/>
      <c r="J2" s="5"/>
    </row>
    <row r="4" spans="1:10">
      <c r="A4" s="46" t="s">
        <v>232</v>
      </c>
      <c r="B4" s="46" t="s">
        <v>0</v>
      </c>
      <c r="C4" s="47" t="s">
        <v>2</v>
      </c>
      <c r="D4" s="47" t="s">
        <v>3</v>
      </c>
      <c r="E4" s="47" t="s">
        <v>4</v>
      </c>
      <c r="F4" s="47" t="s">
        <v>5</v>
      </c>
      <c r="G4" s="47" t="s">
        <v>6</v>
      </c>
      <c r="H4" s="47" t="s">
        <v>170</v>
      </c>
      <c r="I4" s="47" t="s">
        <v>169</v>
      </c>
    </row>
    <row r="5" spans="1:10">
      <c r="A5" s="30">
        <v>1</v>
      </c>
      <c r="B5" s="30" t="s">
        <v>368</v>
      </c>
      <c r="C5" s="31"/>
      <c r="D5" s="31"/>
      <c r="E5" s="31"/>
      <c r="F5" s="31"/>
      <c r="G5" s="31"/>
      <c r="H5" s="31"/>
      <c r="I5" s="31"/>
    </row>
    <row r="6" spans="1:10">
      <c r="A6" s="30"/>
      <c r="B6" s="32" t="s">
        <v>368</v>
      </c>
      <c r="C6" s="31">
        <f>'6.Cons Profit &amp; Loss'!B17</f>
        <v>58869568.760166004</v>
      </c>
      <c r="D6" s="31">
        <f>'6.Cons Profit &amp; Loss'!C17</f>
        <v>69676077.39555867</v>
      </c>
      <c r="E6" s="31">
        <f>'6.Cons Profit &amp; Loss'!D17</f>
        <v>79759954.647810131</v>
      </c>
      <c r="F6" s="31">
        <f>'6.Cons Profit &amp; Loss'!E17</f>
        <v>90706711.00870201</v>
      </c>
      <c r="G6" s="31">
        <f>'6.Cons Profit &amp; Loss'!F17</f>
        <v>102548743.11906353</v>
      </c>
      <c r="H6" s="31">
        <f>'6.Cons Profit &amp; Loss'!G17</f>
        <v>115256319.39043948</v>
      </c>
      <c r="I6" s="31">
        <f>'6.Cons Profit &amp; Loss'!H17</f>
        <v>128978281.43115532</v>
      </c>
    </row>
    <row r="7" spans="1:10">
      <c r="A7" s="30">
        <v>2</v>
      </c>
      <c r="B7" s="30" t="s">
        <v>233</v>
      </c>
      <c r="C7" s="31">
        <f>+'1.Project Cost and MOF (2)'!F21</f>
        <v>4857254.5980706625</v>
      </c>
      <c r="D7" s="31"/>
      <c r="E7" s="31"/>
      <c r="F7" s="31"/>
      <c r="G7" s="31"/>
      <c r="H7" s="31"/>
      <c r="I7" s="31"/>
    </row>
    <row r="8" spans="1:10">
      <c r="A8" s="30"/>
      <c r="B8" s="30" t="s">
        <v>294</v>
      </c>
      <c r="C8" s="31"/>
      <c r="D8" s="31"/>
      <c r="E8" s="31"/>
      <c r="F8" s="31"/>
      <c r="G8" s="31"/>
      <c r="H8" s="31"/>
      <c r="I8" s="31"/>
    </row>
    <row r="9" spans="1:10">
      <c r="A9" s="30">
        <v>3</v>
      </c>
      <c r="B9" s="30" t="str">
        <f>'7.Balance Sheet'!A35</f>
        <v>Smart Grant -in-Aid</v>
      </c>
      <c r="C9" s="31">
        <f>+'1.Project Cost and MOF (2)'!F19</f>
        <v>20000000</v>
      </c>
      <c r="D9" s="31"/>
      <c r="E9" s="31"/>
      <c r="F9" s="31"/>
      <c r="G9" s="31"/>
      <c r="H9" s="31"/>
      <c r="I9" s="31"/>
    </row>
    <row r="10" spans="1:10">
      <c r="A10" s="30">
        <v>4</v>
      </c>
      <c r="B10" s="30" t="s">
        <v>234</v>
      </c>
      <c r="C10" s="31">
        <f>+'1.Project Cost and MOF (2)'!F20</f>
        <v>15114072.365079995</v>
      </c>
      <c r="D10" s="31"/>
      <c r="E10" s="31"/>
      <c r="F10" s="31"/>
      <c r="G10" s="31"/>
      <c r="H10" s="31"/>
      <c r="I10" s="31"/>
    </row>
    <row r="11" spans="1:10">
      <c r="A11" s="30">
        <v>5</v>
      </c>
      <c r="B11" s="30" t="s">
        <v>235</v>
      </c>
      <c r="C11" s="31">
        <f>'7.Balance Sheet'!B25</f>
        <v>3822764.0078026489</v>
      </c>
      <c r="D11" s="31">
        <f>'7.Balance Sheet'!C25-'7.Balance Sheet'!B25</f>
        <v>598162.48736881511</v>
      </c>
      <c r="E11" s="31">
        <f>'7.Balance Sheet'!D25-'7.Balance Sheet'!C25</f>
        <v>642147.9391942462</v>
      </c>
      <c r="F11" s="31">
        <f>'7.Balance Sheet'!E25-'7.Balance Sheet'!D25</f>
        <v>696052.76752080582</v>
      </c>
      <c r="G11" s="31">
        <f>'7.Balance Sheet'!F25-'7.Balance Sheet'!E25</f>
        <v>753000.35818697326</v>
      </c>
      <c r="H11" s="31">
        <f>'7.Balance Sheet'!G25-'7.Balance Sheet'!F25</f>
        <v>810377.94089136645</v>
      </c>
      <c r="I11" s="31">
        <f>'7.Balance Sheet'!H25-'7.Balance Sheet'!G25</f>
        <v>875135.41608031467</v>
      </c>
    </row>
    <row r="12" spans="1:10">
      <c r="A12" s="30">
        <v>6</v>
      </c>
      <c r="B12" s="30" t="s">
        <v>2021</v>
      </c>
      <c r="C12" s="31">
        <f>'7.Balance Sheet'!B26</f>
        <v>925542.66054817231</v>
      </c>
      <c r="D12" s="31">
        <f>'7.Balance Sheet'!C26-'7.Balance Sheet'!B26</f>
        <v>182786.38776719605</v>
      </c>
      <c r="E12" s="31">
        <f>'7.Balance Sheet'!D26-'7.Balance Sheet'!C26</f>
        <v>160157.96381509886</v>
      </c>
      <c r="F12" s="31">
        <f>'7.Balance Sheet'!E26-'7.Balance Sheet'!D26</f>
        <v>173760.70220927219</v>
      </c>
      <c r="G12" s="31">
        <f>'7.Balance Sheet'!F26-'7.Balance Sheet'!E26</f>
        <v>187965.55489987321</v>
      </c>
      <c r="H12" s="31">
        <f>'7.Balance Sheet'!G26-'7.Balance Sheet'!F26</f>
        <v>203156.49110401142</v>
      </c>
      <c r="I12" s="31">
        <f>'7.Balance Sheet'!H26-'7.Balance Sheet'!G26</f>
        <v>219396.60704131424</v>
      </c>
    </row>
    <row r="13" spans="1:10">
      <c r="A13" s="30"/>
      <c r="B13" s="30" t="s">
        <v>236</v>
      </c>
      <c r="C13" s="33">
        <f>SUM(C6:C12)</f>
        <v>103589202.39166749</v>
      </c>
      <c r="D13" s="33">
        <f t="shared" ref="D13:I13" si="0">SUM(D6:D12)</f>
        <v>70457026.270694688</v>
      </c>
      <c r="E13" s="33">
        <f t="shared" si="0"/>
        <v>80562260.550819471</v>
      </c>
      <c r="F13" s="33">
        <f t="shared" si="0"/>
        <v>91576524.478432089</v>
      </c>
      <c r="G13" s="33">
        <f t="shared" si="0"/>
        <v>103489709.03215037</v>
      </c>
      <c r="H13" s="33">
        <f t="shared" si="0"/>
        <v>116269853.82243486</v>
      </c>
      <c r="I13" s="33">
        <f t="shared" si="0"/>
        <v>130072813.45427695</v>
      </c>
    </row>
    <row r="14" spans="1:10">
      <c r="A14" s="1155" t="s">
        <v>237</v>
      </c>
      <c r="B14" s="1155"/>
      <c r="C14" s="34"/>
      <c r="D14" s="34"/>
      <c r="E14" s="34"/>
      <c r="F14" s="34"/>
      <c r="G14" s="34"/>
      <c r="H14" s="34"/>
      <c r="I14" s="34"/>
    </row>
    <row r="15" spans="1:10">
      <c r="A15" s="30">
        <v>1</v>
      </c>
      <c r="B15" s="30" t="s">
        <v>238</v>
      </c>
      <c r="C15" s="34"/>
      <c r="D15" s="34"/>
      <c r="E15" s="34"/>
      <c r="F15" s="34"/>
      <c r="G15" s="34"/>
      <c r="H15" s="34"/>
      <c r="I15" s="34"/>
    </row>
    <row r="16" spans="1:10">
      <c r="A16" s="35" t="s">
        <v>239</v>
      </c>
      <c r="B16" s="34" t="str">
        <f>'[13]Total Cost of Project'!C3</f>
        <v>Land and Building</v>
      </c>
      <c r="C16" s="36">
        <f>+'1.Project Cost and MOF (2)'!D5</f>
        <v>19004500</v>
      </c>
      <c r="D16" s="36"/>
      <c r="E16" s="36"/>
      <c r="F16" s="36"/>
      <c r="G16" s="36"/>
      <c r="H16" s="36"/>
      <c r="I16" s="36"/>
    </row>
    <row r="17" spans="1:13">
      <c r="A17" s="35" t="s">
        <v>240</v>
      </c>
      <c r="B17" s="37" t="str">
        <f>'[13]Total Cost of Project'!C4</f>
        <v>Machinery and Equipment</v>
      </c>
      <c r="C17" s="36">
        <f>+'1.Project Cost and MOF (2)'!D6</f>
        <v>18127932.961199999</v>
      </c>
      <c r="D17" s="36"/>
      <c r="E17" s="36"/>
      <c r="F17" s="36"/>
      <c r="G17" s="36"/>
      <c r="H17" s="36"/>
      <c r="I17" s="36"/>
    </row>
    <row r="18" spans="1:13">
      <c r="A18" s="35" t="s">
        <v>277</v>
      </c>
      <c r="B18" s="37" t="s">
        <v>336</v>
      </c>
      <c r="C18" s="36">
        <f>+'1.Project Cost and MOF (2)'!D7</f>
        <v>0</v>
      </c>
      <c r="D18" s="36"/>
      <c r="E18" s="36"/>
      <c r="F18" s="36"/>
      <c r="G18" s="36"/>
      <c r="H18" s="36"/>
      <c r="I18" s="36"/>
    </row>
    <row r="19" spans="1:13">
      <c r="A19" s="35" t="s">
        <v>279</v>
      </c>
      <c r="B19" s="37" t="s">
        <v>338</v>
      </c>
      <c r="C19" s="36">
        <f>+'1.Project Cost and MOF (2)'!D8</f>
        <v>0</v>
      </c>
      <c r="D19" s="36"/>
      <c r="E19" s="36"/>
      <c r="F19" s="36"/>
      <c r="G19" s="36"/>
      <c r="H19" s="36"/>
      <c r="I19" s="36"/>
    </row>
    <row r="20" spans="1:13">
      <c r="A20" s="35" t="s">
        <v>339</v>
      </c>
      <c r="B20" s="37" t="s">
        <v>278</v>
      </c>
      <c r="C20" s="36">
        <f>+'1.Project Cost and MOF (2)'!D9</f>
        <v>0</v>
      </c>
      <c r="D20" s="31"/>
      <c r="E20" s="31"/>
      <c r="F20" s="31"/>
      <c r="G20" s="31"/>
      <c r="H20" s="31"/>
      <c r="I20" s="31"/>
    </row>
    <row r="21" spans="1:13">
      <c r="A21" s="35" t="s">
        <v>340</v>
      </c>
      <c r="B21" s="37" t="s">
        <v>280</v>
      </c>
      <c r="C21" s="36">
        <f>+'1.Project Cost and MOF (2)'!D10</f>
        <v>1883203</v>
      </c>
      <c r="D21" s="31"/>
      <c r="E21" s="31"/>
      <c r="F21" s="31"/>
      <c r="G21" s="31"/>
      <c r="H21" s="31"/>
      <c r="I21" s="31"/>
      <c r="M21" s="51">
        <f>+D6-D25-D26</f>
        <v>9398234.1619716063</v>
      </c>
    </row>
    <row r="22" spans="1:13">
      <c r="A22" s="38">
        <v>2</v>
      </c>
      <c r="B22" s="675" t="s">
        <v>2018</v>
      </c>
      <c r="C22" s="36"/>
      <c r="D22" s="31"/>
      <c r="E22" s="31"/>
      <c r="F22" s="31"/>
      <c r="G22" s="31"/>
      <c r="H22" s="31"/>
      <c r="I22" s="31"/>
      <c r="M22" s="51"/>
    </row>
    <row r="23" spans="1:13">
      <c r="A23" s="35" t="s">
        <v>239</v>
      </c>
      <c r="B23" s="37" t="s">
        <v>2019</v>
      </c>
      <c r="C23" s="31">
        <f>'7.Balance Sheet'!B11</f>
        <v>2000000</v>
      </c>
      <c r="D23" s="31">
        <f>'7.Balance Sheet'!C11-'7.Balance Sheet'!B11</f>
        <v>500000</v>
      </c>
      <c r="E23" s="31">
        <f>'7.Balance Sheet'!D11-'7.Balance Sheet'!C11</f>
        <v>2500000</v>
      </c>
      <c r="F23" s="31">
        <f>'7.Balance Sheet'!E11-'7.Balance Sheet'!D11</f>
        <v>2500000</v>
      </c>
      <c r="G23" s="31">
        <f>'7.Balance Sheet'!F11-'7.Balance Sheet'!E11</f>
        <v>2500000</v>
      </c>
      <c r="H23" s="31">
        <f>'7.Balance Sheet'!G11-'7.Balance Sheet'!F11</f>
        <v>2500000</v>
      </c>
      <c r="I23" s="31">
        <f>'7.Balance Sheet'!H11-'7.Balance Sheet'!G11</f>
        <v>2500000</v>
      </c>
      <c r="M23" s="51"/>
    </row>
    <row r="24" spans="1:13">
      <c r="A24" s="30">
        <v>3</v>
      </c>
      <c r="B24" s="30" t="s">
        <v>241</v>
      </c>
      <c r="C24" s="34"/>
      <c r="D24" s="34"/>
      <c r="E24" s="34"/>
      <c r="F24" s="34"/>
      <c r="G24" s="34"/>
      <c r="H24" s="34"/>
      <c r="I24" s="34"/>
    </row>
    <row r="25" spans="1:13">
      <c r="A25" s="35" t="s">
        <v>239</v>
      </c>
      <c r="B25" s="34" t="s">
        <v>314</v>
      </c>
      <c r="C25" s="56">
        <f>'6.Cons Profit &amp; Loss'!B29</f>
        <v>48260438.728583276</v>
      </c>
      <c r="D25" s="56">
        <f>'6.Cons Profit &amp; Loss'!C29</f>
        <v>57791443.233587064</v>
      </c>
      <c r="E25" s="56">
        <f>'6.Cons Profit &amp; Loss'!D29</f>
        <v>66142537.061088637</v>
      </c>
      <c r="F25" s="56">
        <f>'6.Cons Profit &amp; Loss'!E29</f>
        <v>75202916.533429265</v>
      </c>
      <c r="G25" s="56">
        <f>'6.Cons Profit &amp; Loss'!F29</f>
        <v>85003977.61035125</v>
      </c>
      <c r="H25" s="56">
        <f>'6.Cons Profit &amp; Loss'!G29</f>
        <v>95597137.503631845</v>
      </c>
      <c r="I25" s="56">
        <f>'6.Cons Profit &amp; Loss'!H29</f>
        <v>107037103.44221462</v>
      </c>
    </row>
    <row r="26" spans="1:13">
      <c r="A26" s="35" t="s">
        <v>240</v>
      </c>
      <c r="B26" s="34" t="s">
        <v>312</v>
      </c>
      <c r="C26" s="31">
        <f>'6.Cons Profit &amp; Loss'!B41</f>
        <v>2368000</v>
      </c>
      <c r="D26" s="31">
        <f>'6.Cons Profit &amp; Loss'!C41</f>
        <v>2486400</v>
      </c>
      <c r="E26" s="31">
        <f>'6.Cons Profit &amp; Loss'!D41</f>
        <v>2610720</v>
      </c>
      <c r="F26" s="31">
        <f>'6.Cons Profit &amp; Loss'!E41</f>
        <v>2795835</v>
      </c>
      <c r="G26" s="31">
        <f>'6.Cons Profit &amp; Loss'!F41</f>
        <v>2935626.75</v>
      </c>
      <c r="H26" s="31">
        <f>'6.Cons Profit &amp; Loss'!G41</f>
        <v>3082408.0875000004</v>
      </c>
      <c r="I26" s="31">
        <f>'6.Cons Profit &amp; Loss'!H41</f>
        <v>3236528.4918750008</v>
      </c>
    </row>
    <row r="27" spans="1:13">
      <c r="A27" s="38">
        <v>4</v>
      </c>
      <c r="B27" s="30" t="s">
        <v>511</v>
      </c>
      <c r="C27" s="31"/>
      <c r="D27" s="31"/>
      <c r="E27" s="31"/>
      <c r="F27" s="31"/>
      <c r="G27" s="31"/>
      <c r="H27" s="31"/>
      <c r="I27" s="31"/>
    </row>
    <row r="28" spans="1:13">
      <c r="A28" s="35"/>
      <c r="B28" s="34" t="s">
        <v>242</v>
      </c>
      <c r="C28" s="31">
        <f>SUM('4.TL repayment sch'!E10:E21)</f>
        <v>792660.31104035839</v>
      </c>
      <c r="D28" s="31">
        <f>SUM('4.TL repayment sch'!E22:E33)</f>
        <v>1734614.3716234651</v>
      </c>
      <c r="E28" s="31">
        <f>SUM('4.TL repayment sch'!E34:E45)</f>
        <v>1954606.8915719581</v>
      </c>
      <c r="F28" s="31">
        <f>SUM('4.TL repayment sch'!E46:E57)</f>
        <v>2202499.9694917272</v>
      </c>
      <c r="G28" s="31">
        <f>SUM('4.TL repayment sch'!E58:E69)</f>
        <v>2481832.0944881779</v>
      </c>
      <c r="H28" s="31">
        <f>SUM('4.TL repayment sch'!E70:E81)</f>
        <v>2796590.5246541305</v>
      </c>
      <c r="I28" s="31">
        <f>SUM('4.TL repayment sch'!E82:E93)</f>
        <v>3151268.2022101711</v>
      </c>
    </row>
    <row r="29" spans="1:13">
      <c r="A29" s="35"/>
      <c r="B29" s="34" t="s">
        <v>243</v>
      </c>
      <c r="C29" s="31">
        <f>SUM('4.TL repayment sch'!D10:D21)</f>
        <v>1794102.2062661378</v>
      </c>
      <c r="D29" s="31">
        <f>SUM('4.TL repayment sch'!D22:D33)</f>
        <v>1625221.9791799283</v>
      </c>
      <c r="E29" s="31">
        <f>SUM('4.TL repayment sch'!D34:D45)</f>
        <v>1405229.4592314356</v>
      </c>
      <c r="F29" s="31">
        <f>SUM('4.TL repayment sch'!D46:D57)</f>
        <v>1157336.3813116662</v>
      </c>
      <c r="G29" s="31">
        <f>SUM('4.TL repayment sch'!D58:D69)</f>
        <v>878004.25631521584</v>
      </c>
      <c r="H29" s="31">
        <f>SUM('4.TL repayment sch'!D70:D81)</f>
        <v>563245.82614926307</v>
      </c>
      <c r="I29" s="31">
        <f>SUM('4.TL repayment sch'!D82:D93)</f>
        <v>208568.14859322208</v>
      </c>
    </row>
    <row r="30" spans="1:13">
      <c r="A30" s="35"/>
      <c r="B30" s="34" t="s">
        <v>244</v>
      </c>
      <c r="C30" s="31"/>
      <c r="D30" s="31"/>
      <c r="E30" s="31"/>
      <c r="F30" s="31"/>
      <c r="G30" s="31"/>
      <c r="H30" s="31"/>
      <c r="I30" s="31"/>
    </row>
    <row r="31" spans="1:13">
      <c r="A31" s="35"/>
      <c r="B31" s="34" t="s">
        <v>245</v>
      </c>
      <c r="C31" s="677">
        <f>'7.Balance Sheet'!B25*12%</f>
        <v>458731.68093631783</v>
      </c>
      <c r="D31" s="677">
        <f>'7.Balance Sheet'!C25*12%</f>
        <v>530511.17942057562</v>
      </c>
      <c r="E31" s="677">
        <f>'7.Balance Sheet'!D25*12%</f>
        <v>607568.93212388526</v>
      </c>
      <c r="F31" s="677">
        <f>'7.Balance Sheet'!E25*12%</f>
        <v>691095.2642263819</v>
      </c>
      <c r="G31" s="677">
        <f>'7.Balance Sheet'!F25*12%</f>
        <v>781455.30720881873</v>
      </c>
      <c r="H31" s="677">
        <f>'7.Balance Sheet'!G25*12%</f>
        <v>878700.66011578264</v>
      </c>
      <c r="I31" s="677">
        <f>'7.Balance Sheet'!H25*12%</f>
        <v>983716.9100454204</v>
      </c>
    </row>
    <row r="32" spans="1:13">
      <c r="A32" s="35"/>
      <c r="B32" s="34" t="s">
        <v>2022</v>
      </c>
      <c r="C32" s="677">
        <f>'7.Balance Sheet'!B10</f>
        <v>2258010.8565543126</v>
      </c>
      <c r="D32" s="677">
        <f>'7.Balance Sheet'!C10-'7.Balance Sheet'!B10</f>
        <v>414496.22163149994</v>
      </c>
      <c r="E32" s="677">
        <f>'7.Balance Sheet'!D10-'7.Balance Sheet'!C10</f>
        <v>386778.85351101449</v>
      </c>
      <c r="F32" s="677">
        <f>'7.Balance Sheet'!E10-'7.Balance Sheet'!D10</f>
        <v>419875.5864451672</v>
      </c>
      <c r="G32" s="677">
        <f>'7.Balance Sheet'!F10-'7.Balance Sheet'!E10</f>
        <v>454214.9302604422</v>
      </c>
      <c r="H32" s="677">
        <f>'7.Balance Sheet'!G10-'7.Balance Sheet'!F10</f>
        <v>487413.88438154384</v>
      </c>
      <c r="I32" s="677">
        <f>'7.Balance Sheet'!H10-'7.Balance Sheet'!G10</f>
        <v>526321.83169868961</v>
      </c>
    </row>
    <row r="33" spans="1:10">
      <c r="A33" s="35"/>
      <c r="B33" s="34" t="s">
        <v>2023</v>
      </c>
      <c r="C33" s="677">
        <f>'7.Balance Sheet'!B9</f>
        <v>2490295.8117965092</v>
      </c>
      <c r="D33" s="677">
        <f>'7.Balance Sheet'!C9-'7.Balance Sheet'!B9</f>
        <v>366452.65350451088</v>
      </c>
      <c r="E33" s="677">
        <f>'7.Balance Sheet'!D9-'7.Balance Sheet'!C9</f>
        <v>415527.04949833034</v>
      </c>
      <c r="F33" s="677">
        <f>'7.Balance Sheet'!E9-'7.Balance Sheet'!D9</f>
        <v>449937.88328491105</v>
      </c>
      <c r="G33" s="677">
        <f>'7.Balance Sheet'!F9-'7.Balance Sheet'!E9</f>
        <v>486750.98282640427</v>
      </c>
      <c r="H33" s="677">
        <f>'7.Balance Sheet'!G9-'7.Balance Sheet'!F9</f>
        <v>526120.5476138331</v>
      </c>
      <c r="I33" s="677">
        <f>'7.Balance Sheet'!H9-'7.Balance Sheet'!G9</f>
        <v>568210.19142294116</v>
      </c>
    </row>
    <row r="34" spans="1:10">
      <c r="A34" s="30">
        <v>5</v>
      </c>
      <c r="B34" s="30" t="s">
        <v>246</v>
      </c>
      <c r="C34" s="31">
        <f>'3.Other Exp &amp; Taxes (2)'!B96</f>
        <v>257924.05605207125</v>
      </c>
      <c r="D34" s="31">
        <f>'3.Other Exp &amp; Taxes (2)'!C96</f>
        <v>739477.42721270688</v>
      </c>
      <c r="E34" s="31">
        <f>'3.Other Exp &amp; Taxes (2)'!D96</f>
        <v>1329452.6337809926</v>
      </c>
      <c r="F34" s="31">
        <f>'3.Other Exp &amp; Taxes (2)'!E96</f>
        <v>1931159.5303689402</v>
      </c>
      <c r="G34" s="31">
        <f>'3.Other Exp &amp; Taxes (2)'!F96</f>
        <v>2575746.9931411748</v>
      </c>
      <c r="H34" s="31">
        <f>'3.Other Exp &amp; Taxes (2)'!G96</f>
        <v>3329589.0078394683</v>
      </c>
      <c r="I34" s="31">
        <f>'3.Other Exp &amp; Taxes (2)'!H96</f>
        <v>4023980.0171056702</v>
      </c>
    </row>
    <row r="35" spans="1:10">
      <c r="A35" s="30">
        <v>6</v>
      </c>
      <c r="B35" s="30" t="s">
        <v>1618</v>
      </c>
      <c r="C35" s="31"/>
      <c r="D35" s="31">
        <f>+'7.Balance Sheet'!B39</f>
        <v>0</v>
      </c>
      <c r="E35" s="31">
        <f>+'7.Balance Sheet'!C39</f>
        <v>0</v>
      </c>
      <c r="F35" s="31">
        <f>+'7.Balance Sheet'!D39</f>
        <v>0</v>
      </c>
      <c r="G35" s="31">
        <f>+'7.Balance Sheet'!E39</f>
        <v>0</v>
      </c>
      <c r="H35" s="31">
        <f>+'7.Balance Sheet'!F39</f>
        <v>0</v>
      </c>
      <c r="I35" s="31">
        <f>+'7.Balance Sheet'!G39</f>
        <v>0</v>
      </c>
    </row>
    <row r="36" spans="1:10">
      <c r="A36" s="30"/>
      <c r="B36" s="30" t="s">
        <v>247</v>
      </c>
      <c r="C36" s="39">
        <f t="shared" ref="C36:I36" si="1">SUM(C16:C35)</f>
        <v>99695799.612428993</v>
      </c>
      <c r="D36" s="39">
        <f t="shared" si="1"/>
        <v>66188617.066159748</v>
      </c>
      <c r="E36" s="39">
        <f t="shared" si="1"/>
        <v>77352420.880806252</v>
      </c>
      <c r="F36" s="39">
        <f t="shared" si="1"/>
        <v>87350656.14855805</v>
      </c>
      <c r="G36" s="39">
        <f t="shared" si="1"/>
        <v>98097608.924591482</v>
      </c>
      <c r="H36" s="39">
        <f t="shared" si="1"/>
        <v>109761206.04188588</v>
      </c>
      <c r="I36" s="39">
        <f t="shared" si="1"/>
        <v>122235697.23516573</v>
      </c>
    </row>
    <row r="37" spans="1:10">
      <c r="A37" s="30"/>
      <c r="B37" s="30" t="s">
        <v>248</v>
      </c>
      <c r="C37" s="39">
        <f t="shared" ref="C37:I37" si="2">C13-C36</f>
        <v>3893402.7792384923</v>
      </c>
      <c r="D37" s="39">
        <f t="shared" si="2"/>
        <v>4268409.2045349404</v>
      </c>
      <c r="E37" s="39">
        <f t="shared" si="2"/>
        <v>3209839.6700132191</v>
      </c>
      <c r="F37" s="39">
        <f t="shared" si="2"/>
        <v>4225868.3298740387</v>
      </c>
      <c r="G37" s="39">
        <f t="shared" si="2"/>
        <v>5392100.1075588912</v>
      </c>
      <c r="H37" s="39">
        <f t="shared" si="2"/>
        <v>6508647.7805489749</v>
      </c>
      <c r="I37" s="39">
        <f t="shared" si="2"/>
        <v>7837116.219111219</v>
      </c>
    </row>
    <row r="38" spans="1:10">
      <c r="A38" s="38"/>
      <c r="B38" s="34" t="s">
        <v>249</v>
      </c>
      <c r="C38" s="34"/>
      <c r="D38" s="40">
        <f t="shared" ref="D38:I38" si="3">C39</f>
        <v>3893402.7792384923</v>
      </c>
      <c r="E38" s="40">
        <f t="shared" si="3"/>
        <v>8161811.9837734327</v>
      </c>
      <c r="F38" s="40">
        <f t="shared" si="3"/>
        <v>11371651.653786652</v>
      </c>
      <c r="G38" s="40">
        <f t="shared" si="3"/>
        <v>15597519.98366069</v>
      </c>
      <c r="H38" s="40">
        <f t="shared" si="3"/>
        <v>20989620.091219582</v>
      </c>
      <c r="I38" s="40">
        <f t="shared" si="3"/>
        <v>27498267.871768557</v>
      </c>
    </row>
    <row r="39" spans="1:10">
      <c r="A39" s="30"/>
      <c r="B39" s="41" t="s">
        <v>250</v>
      </c>
      <c r="C39" s="39">
        <f t="shared" ref="C39:I39" si="4">C37+C38</f>
        <v>3893402.7792384923</v>
      </c>
      <c r="D39" s="39">
        <f t="shared" si="4"/>
        <v>8161811.9837734327</v>
      </c>
      <c r="E39" s="39">
        <f t="shared" si="4"/>
        <v>11371651.653786652</v>
      </c>
      <c r="F39" s="39">
        <f t="shared" si="4"/>
        <v>15597519.98366069</v>
      </c>
      <c r="G39" s="39">
        <f t="shared" si="4"/>
        <v>20989620.091219582</v>
      </c>
      <c r="H39" s="39">
        <f t="shared" si="4"/>
        <v>27498267.871768557</v>
      </c>
      <c r="I39" s="39">
        <f t="shared" si="4"/>
        <v>35335384.090879776</v>
      </c>
    </row>
    <row r="41" spans="1:10" ht="39.950000000000003" customHeight="1">
      <c r="A41" s="1156" t="s">
        <v>412</v>
      </c>
      <c r="B41" s="1156"/>
      <c r="C41" s="1156"/>
      <c r="D41" s="1156"/>
      <c r="E41" s="1156"/>
      <c r="F41" s="1156"/>
      <c r="G41" s="1156"/>
      <c r="H41" s="1156"/>
      <c r="I41" s="1156"/>
      <c r="J41" s="1156"/>
    </row>
    <row r="43" spans="1:10">
      <c r="C43" s="51"/>
    </row>
    <row r="44" spans="1:10">
      <c r="C44" s="51"/>
    </row>
    <row r="45" spans="1:10">
      <c r="C45" s="51"/>
    </row>
    <row r="46" spans="1:10">
      <c r="C46" s="51"/>
    </row>
    <row r="47" spans="1:10">
      <c r="C47" s="51"/>
    </row>
  </sheetData>
  <mergeCells count="4">
    <mergeCell ref="A1:G1"/>
    <mergeCell ref="A14:B14"/>
    <mergeCell ref="A2:I2"/>
    <mergeCell ref="A41:J41"/>
  </mergeCells>
  <pageMargins left="0.7" right="0.7" top="0.75" bottom="0.75" header="0.3" footer="0.3"/>
  <pageSetup scale="5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S186"/>
  <sheetViews>
    <sheetView showGridLines="0" view="pageBreakPreview" topLeftCell="A70" zoomScale="85" zoomScaleSheetLayoutView="85" workbookViewId="0">
      <selection activeCell="D70" sqref="D70"/>
    </sheetView>
  </sheetViews>
  <sheetFormatPr defaultRowHeight="15"/>
  <cols>
    <col min="2" max="2" width="34.42578125" customWidth="1"/>
    <col min="3" max="3" width="16.85546875" customWidth="1"/>
    <col min="4" max="4" width="15" customWidth="1"/>
    <col min="5" max="6" width="13.42578125" customWidth="1"/>
    <col min="7" max="9" width="14.42578125" customWidth="1"/>
    <col min="10" max="10" width="14.85546875" customWidth="1"/>
    <col min="11" max="11" width="14.42578125" customWidth="1"/>
    <col min="12" max="12" width="14.85546875" bestFit="1" customWidth="1"/>
    <col min="13" max="18" width="11.85546875" bestFit="1" customWidth="1"/>
    <col min="19" max="19" width="4.5703125" bestFit="1" customWidth="1"/>
  </cols>
  <sheetData>
    <row r="5" spans="2:12" ht="18.75">
      <c r="B5" s="1157" t="s">
        <v>558</v>
      </c>
      <c r="C5" s="1157"/>
      <c r="D5" s="1157"/>
      <c r="E5" s="1157"/>
      <c r="F5" s="1157"/>
      <c r="G5" s="1157"/>
      <c r="H5" s="1157"/>
      <c r="I5" s="1157"/>
      <c r="J5" s="1157"/>
    </row>
    <row r="6" spans="2:12" ht="16.5">
      <c r="B6" s="7"/>
      <c r="C6" s="7"/>
      <c r="D6" s="7"/>
      <c r="E6" s="7"/>
      <c r="F6" s="7"/>
      <c r="G6" s="7"/>
      <c r="H6" s="7"/>
      <c r="I6" s="7"/>
      <c r="J6" s="7"/>
    </row>
    <row r="7" spans="2:12" ht="15.75">
      <c r="B7" s="62" t="s">
        <v>29</v>
      </c>
      <c r="C7" s="63" t="s">
        <v>341</v>
      </c>
      <c r="D7" s="63" t="s">
        <v>2</v>
      </c>
      <c r="E7" s="63" t="s">
        <v>3</v>
      </c>
      <c r="F7" s="63" t="s">
        <v>4</v>
      </c>
      <c r="G7" s="63" t="s">
        <v>5</v>
      </c>
      <c r="H7" s="63" t="s">
        <v>6</v>
      </c>
      <c r="I7" s="63" t="s">
        <v>170</v>
      </c>
      <c r="J7" s="63" t="s">
        <v>169</v>
      </c>
      <c r="L7" s="278"/>
    </row>
    <row r="8" spans="2:12">
      <c r="B8" s="64"/>
      <c r="C8" s="64"/>
      <c r="D8" s="64"/>
      <c r="E8" s="64"/>
      <c r="F8" s="64"/>
      <c r="G8" s="64"/>
      <c r="H8" s="64"/>
      <c r="I8" s="64"/>
      <c r="J8" s="64"/>
    </row>
    <row r="9" spans="2:12">
      <c r="B9" s="64" t="s">
        <v>30</v>
      </c>
      <c r="C9" s="64"/>
      <c r="D9" s="432">
        <f>'6.Cons Profit &amp; Loss'!B56</f>
        <v>3603790.6818842422</v>
      </c>
      <c r="E9" s="432">
        <f>'6.Cons Profit &amp; Loss'!C56</f>
        <v>4376442.1697144369</v>
      </c>
      <c r="F9" s="432">
        <f>'6.Cons Profit &amp; Loss'!D56</f>
        <v>5537865.1551412223</v>
      </c>
      <c r="G9" s="432">
        <f>'6.Cons Profit &amp; Loss'!E56</f>
        <v>6801786.892921797</v>
      </c>
      <c r="H9" s="432">
        <f>'6.Cons Profit &amp; Loss'!F56</f>
        <v>8247350.7956031095</v>
      </c>
      <c r="I9" s="432">
        <f>'6.Cons Profit &amp; Loss'!G56</f>
        <v>10055297.498759158</v>
      </c>
      <c r="J9" s="432">
        <f>'6.Cons Profit &amp; Loss'!H56</f>
        <v>11738443.61487742</v>
      </c>
    </row>
    <row r="10" spans="2:12">
      <c r="B10" s="64"/>
      <c r="C10" s="64"/>
      <c r="D10" s="432"/>
      <c r="E10" s="432"/>
      <c r="F10" s="432"/>
      <c r="G10" s="432"/>
      <c r="H10" s="432"/>
      <c r="I10" s="432"/>
      <c r="J10" s="432"/>
    </row>
    <row r="11" spans="2:12">
      <c r="B11" s="65" t="s">
        <v>31</v>
      </c>
      <c r="C11" s="65"/>
      <c r="D11" s="432">
        <f>'6.Cons Profit &amp; Loss'!B47</f>
        <v>1749940.8064439599</v>
      </c>
      <c r="E11" s="432">
        <f>'6.Cons Profit &amp; Loss'!C47</f>
        <v>1749940.8064439599</v>
      </c>
      <c r="F11" s="432">
        <f>'6.Cons Profit &amp; Loss'!D47</f>
        <v>1749940.8064439599</v>
      </c>
      <c r="G11" s="432">
        <f>'6.Cons Profit &amp; Loss'!E47</f>
        <v>1749940.8064439599</v>
      </c>
      <c r="H11" s="432">
        <f>'6.Cons Profit &amp; Loss'!F47</f>
        <v>1749940.8064439599</v>
      </c>
      <c r="I11" s="432">
        <f>'6.Cons Profit &amp; Loss'!G47</f>
        <v>1749940.8064439599</v>
      </c>
      <c r="J11" s="432">
        <f>'6.Cons Profit &amp; Loss'!H47</f>
        <v>1749940.8064439599</v>
      </c>
    </row>
    <row r="12" spans="2:12">
      <c r="B12" s="64" t="s">
        <v>35</v>
      </c>
      <c r="C12" s="64"/>
      <c r="D12" s="432">
        <f>'6.Cons Profit &amp; Loss'!B48</f>
        <v>376640.6</v>
      </c>
      <c r="E12" s="432">
        <f>'6.Cons Profit &amp; Loss'!C48</f>
        <v>376640.6</v>
      </c>
      <c r="F12" s="432">
        <f>'6.Cons Profit &amp; Loss'!D48</f>
        <v>376640.6</v>
      </c>
      <c r="G12" s="432">
        <f>'6.Cons Profit &amp; Loss'!E48</f>
        <v>376640.6</v>
      </c>
      <c r="H12" s="432">
        <f>'6.Cons Profit &amp; Loss'!F48</f>
        <v>376640.6</v>
      </c>
      <c r="I12" s="432">
        <f>'6.Cons Profit &amp; Loss'!G48</f>
        <v>0</v>
      </c>
      <c r="J12" s="432">
        <f>'6.Cons Profit &amp; Loss'!H48</f>
        <v>0</v>
      </c>
    </row>
    <row r="13" spans="2:12">
      <c r="B13" s="64"/>
      <c r="C13" s="64"/>
      <c r="D13" s="432"/>
      <c r="E13" s="432"/>
      <c r="F13" s="432"/>
      <c r="G13" s="432"/>
      <c r="H13" s="432"/>
      <c r="I13" s="432"/>
      <c r="J13" s="432"/>
    </row>
    <row r="14" spans="2:12">
      <c r="B14" s="64" t="s">
        <v>32</v>
      </c>
      <c r="C14" s="64"/>
      <c r="D14" s="432">
        <f>SUM(D9:D12)</f>
        <v>5730372.0883282013</v>
      </c>
      <c r="E14" s="432">
        <f t="shared" ref="E14:J14" si="0">SUM(E9:E12)</f>
        <v>6503023.5761583969</v>
      </c>
      <c r="F14" s="432">
        <f t="shared" si="0"/>
        <v>7664446.5615851823</v>
      </c>
      <c r="G14" s="432">
        <f t="shared" si="0"/>
        <v>8928368.299365757</v>
      </c>
      <c r="H14" s="432">
        <f t="shared" si="0"/>
        <v>10373932.202047069</v>
      </c>
      <c r="I14" s="432">
        <f t="shared" si="0"/>
        <v>11805238.305203117</v>
      </c>
      <c r="J14" s="432">
        <f t="shared" si="0"/>
        <v>13488384.421321379</v>
      </c>
    </row>
    <row r="15" spans="2:12">
      <c r="B15" s="64" t="s">
        <v>350</v>
      </c>
      <c r="C15" s="661">
        <f>-'1.Project Cost and MOF old'!D12</f>
        <v>-39971326.963150658</v>
      </c>
      <c r="D15" s="432">
        <f>D14</f>
        <v>5730372.0883282013</v>
      </c>
      <c r="E15" s="432">
        <f t="shared" ref="E15:J15" si="1">E14</f>
        <v>6503023.5761583969</v>
      </c>
      <c r="F15" s="432">
        <f t="shared" si="1"/>
        <v>7664446.5615851823</v>
      </c>
      <c r="G15" s="432">
        <f t="shared" si="1"/>
        <v>8928368.299365757</v>
      </c>
      <c r="H15" s="432">
        <f t="shared" si="1"/>
        <v>10373932.202047069</v>
      </c>
      <c r="I15" s="432">
        <f t="shared" si="1"/>
        <v>11805238.305203117</v>
      </c>
      <c r="J15" s="432">
        <f t="shared" si="1"/>
        <v>13488384.421321379</v>
      </c>
      <c r="L15" s="287">
        <f>SUM(C15:K15)</f>
        <v>24522438.490858447</v>
      </c>
    </row>
    <row r="16" spans="2:12">
      <c r="B16" s="64" t="s">
        <v>282</v>
      </c>
      <c r="C16" s="197">
        <f>IRR(C15:J15)</f>
        <v>0.1160983927476209</v>
      </c>
      <c r="D16" s="432"/>
      <c r="E16" s="432"/>
      <c r="F16" s="432"/>
      <c r="G16" s="432"/>
      <c r="H16" s="432"/>
      <c r="I16" s="432"/>
      <c r="J16" s="432"/>
    </row>
    <row r="17" spans="2:19">
      <c r="B17" s="64"/>
      <c r="C17" s="64"/>
      <c r="D17" s="432"/>
      <c r="E17" s="432"/>
      <c r="F17" s="432"/>
      <c r="G17" s="432"/>
      <c r="H17" s="432"/>
      <c r="I17" s="432"/>
      <c r="J17" s="432"/>
    </row>
    <row r="18" spans="2:19" ht="16.5">
      <c r="B18" s="198" t="s">
        <v>409</v>
      </c>
      <c r="C18" s="198"/>
      <c r="D18" s="578">
        <f>1/(1+$C$16)</f>
        <v>0.89597835325090935</v>
      </c>
      <c r="E18" s="577">
        <f t="shared" ref="E18:J18" si="2">D18/(1+$C$16)</f>
        <v>0.80277720949421127</v>
      </c>
      <c r="F18" s="577">
        <f t="shared" si="2"/>
        <v>0.71927100218998363</v>
      </c>
      <c r="G18" s="577">
        <f t="shared" si="2"/>
        <v>0.64445124808331267</v>
      </c>
      <c r="H18" s="577">
        <f t="shared" si="2"/>
        <v>0.57741436800817969</v>
      </c>
      <c r="I18" s="577">
        <f t="shared" si="2"/>
        <v>0.51735077459138334</v>
      </c>
      <c r="J18" s="577">
        <f t="shared" si="2"/>
        <v>0.46353509507147</v>
      </c>
      <c r="L18" s="13"/>
      <c r="M18" s="13"/>
      <c r="N18" s="13"/>
      <c r="O18" s="13"/>
      <c r="P18" s="13"/>
      <c r="Q18" s="13"/>
      <c r="R18" s="13"/>
      <c r="S18" s="13"/>
    </row>
    <row r="19" spans="2:19">
      <c r="B19" s="64" t="s">
        <v>33</v>
      </c>
      <c r="C19" s="64"/>
      <c r="D19" s="432">
        <f>D14*D18</f>
        <v>5134289.3472152762</v>
      </c>
      <c r="E19" s="432">
        <f t="shared" ref="E19:J19" si="3">E14*E18</f>
        <v>5220479.1197435046</v>
      </c>
      <c r="F19" s="432">
        <f t="shared" si="3"/>
        <v>5512814.1595829483</v>
      </c>
      <c r="G19" s="432">
        <f t="shared" si="3"/>
        <v>5753898.0938737458</v>
      </c>
      <c r="H19" s="432">
        <f t="shared" si="3"/>
        <v>5990057.5062047122</v>
      </c>
      <c r="I19" s="432">
        <f t="shared" si="3"/>
        <v>6107449.1814327026</v>
      </c>
      <c r="J19" s="432">
        <f t="shared" si="3"/>
        <v>6252339.5550977401</v>
      </c>
      <c r="L19" s="6"/>
    </row>
    <row r="20" spans="2:19">
      <c r="B20" s="64" t="s">
        <v>33</v>
      </c>
      <c r="C20" s="64"/>
      <c r="D20" s="1166">
        <f>SUM(D19:J19)</f>
        <v>39971326.963150635</v>
      </c>
      <c r="E20" s="1166"/>
      <c r="F20" s="1166"/>
      <c r="G20" s="1166"/>
      <c r="H20" s="1166"/>
      <c r="I20" s="1166"/>
      <c r="J20" s="1166"/>
      <c r="L20" s="6"/>
    </row>
    <row r="21" spans="2:19">
      <c r="B21" s="64"/>
      <c r="C21" s="64"/>
      <c r="D21" s="432"/>
      <c r="E21" s="432"/>
      <c r="F21" s="432"/>
      <c r="G21" s="432"/>
      <c r="H21" s="432"/>
      <c r="I21" s="432"/>
      <c r="J21" s="432"/>
    </row>
    <row r="22" spans="2:19">
      <c r="B22" s="8" t="s">
        <v>34</v>
      </c>
      <c r="C22" s="8"/>
      <c r="D22" s="1167">
        <f>'1.Project Cost and MOF old'!D12</f>
        <v>39971326.963150658</v>
      </c>
      <c r="E22" s="1167"/>
      <c r="F22" s="1167"/>
      <c r="G22" s="1167"/>
      <c r="H22" s="1167"/>
      <c r="I22" s="1167"/>
      <c r="J22" s="1167"/>
    </row>
    <row r="23" spans="2:19">
      <c r="F23" s="13">
        <f>D20-D22</f>
        <v>0</v>
      </c>
    </row>
    <row r="24" spans="2:19" ht="29.45" customHeight="1">
      <c r="B24" s="1158" t="s">
        <v>427</v>
      </c>
      <c r="C24" s="1158"/>
      <c r="D24" s="1158"/>
      <c r="E24" s="1158"/>
      <c r="F24" s="1158"/>
      <c r="G24" s="1158"/>
      <c r="H24" s="1158"/>
      <c r="I24" s="1158"/>
      <c r="J24" s="1158"/>
    </row>
    <row r="25" spans="2:19">
      <c r="K25" s="13"/>
      <c r="L25" s="13"/>
      <c r="M25" s="13"/>
    </row>
    <row r="26" spans="2:19" ht="18.75">
      <c r="B26" s="724" t="s">
        <v>559</v>
      </c>
      <c r="C26" s="724"/>
      <c r="D26" s="724"/>
      <c r="E26" s="724"/>
      <c r="F26" s="724"/>
      <c r="G26" s="724"/>
      <c r="H26" s="724"/>
      <c r="I26" s="724"/>
      <c r="J26" s="724"/>
    </row>
    <row r="27" spans="2:19">
      <c r="K27" s="13"/>
    </row>
    <row r="28" spans="2:19">
      <c r="B28" s="85" t="s">
        <v>0</v>
      </c>
      <c r="C28" s="85"/>
      <c r="D28" s="76" t="s">
        <v>2</v>
      </c>
      <c r="E28" s="76" t="s">
        <v>3</v>
      </c>
      <c r="F28" s="76" t="s">
        <v>4</v>
      </c>
      <c r="G28" s="76" t="s">
        <v>5</v>
      </c>
      <c r="H28" s="76" t="s">
        <v>6</v>
      </c>
      <c r="I28" s="76" t="s">
        <v>170</v>
      </c>
      <c r="J28" s="76" t="s">
        <v>169</v>
      </c>
    </row>
    <row r="29" spans="2:19">
      <c r="B29" s="412"/>
      <c r="C29" s="415"/>
      <c r="D29" s="69"/>
      <c r="E29" s="69"/>
      <c r="F29" s="69"/>
      <c r="G29" s="69"/>
      <c r="H29" s="69"/>
      <c r="I29" s="69"/>
      <c r="J29" s="69"/>
    </row>
    <row r="30" spans="2:19">
      <c r="B30" s="412" t="s">
        <v>36</v>
      </c>
      <c r="C30" s="415"/>
      <c r="D30" s="69"/>
      <c r="E30" s="69"/>
      <c r="F30" s="69"/>
      <c r="G30" s="69"/>
      <c r="H30" s="69"/>
      <c r="I30" s="69"/>
      <c r="J30" s="69"/>
    </row>
    <row r="31" spans="2:19">
      <c r="B31" s="412"/>
      <c r="C31" s="415"/>
      <c r="D31" s="70"/>
      <c r="E31" s="70"/>
      <c r="F31" s="70"/>
      <c r="G31" s="70"/>
      <c r="H31" s="70"/>
      <c r="I31" s="70"/>
      <c r="J31" s="70"/>
    </row>
    <row r="32" spans="2:19">
      <c r="B32" s="413">
        <f>'6.Cons Profit &amp; Loss'!A8</f>
        <v>0</v>
      </c>
      <c r="C32" s="416"/>
      <c r="D32" s="70">
        <f>'6.Cons Profit &amp; Loss'!B8</f>
        <v>0</v>
      </c>
      <c r="E32" s="70">
        <f>'6.Cons Profit &amp; Loss'!C8</f>
        <v>0</v>
      </c>
      <c r="F32" s="70">
        <f>'6.Cons Profit &amp; Loss'!D8</f>
        <v>0</v>
      </c>
      <c r="G32" s="70">
        <f>'6.Cons Profit &amp; Loss'!E8</f>
        <v>0</v>
      </c>
      <c r="H32" s="70">
        <f>'6.Cons Profit &amp; Loss'!F8</f>
        <v>0</v>
      </c>
      <c r="I32" s="70">
        <f>'6.Cons Profit &amp; Loss'!G8</f>
        <v>0</v>
      </c>
      <c r="J32" s="70">
        <f>'6.Cons Profit &amp; Loss'!H8</f>
        <v>0</v>
      </c>
    </row>
    <row r="33" spans="2:13">
      <c r="B33" s="413" t="str">
        <f>'6.Cons Profit &amp; Loss'!A9</f>
        <v>Facility 1 - Processing Unit- Dal Mill</v>
      </c>
      <c r="C33" s="416"/>
      <c r="D33" s="70">
        <f>'6.Cons Profit &amp; Loss'!B9</f>
        <v>52243811.117316008</v>
      </c>
      <c r="E33" s="70">
        <f>'6.Cons Profit &amp; Loss'!C9</f>
        <v>62440755.968408599</v>
      </c>
      <c r="F33" s="70">
        <f>'6.Cons Profit &amp; Loss'!D9</f>
        <v>71543085.125943542</v>
      </c>
      <c r="G33" s="70">
        <f>'6.Cons Profit &amp; Loss'!E9</f>
        <v>81399545.309310943</v>
      </c>
      <c r="H33" s="70">
        <f>'6.Cons Profit &amp; Loss'!F9</f>
        <v>92062793.798200205</v>
      </c>
      <c r="I33" s="70">
        <f>'6.Cons Profit &amp; Loss'!G9</f>
        <v>103588868.27270517</v>
      </c>
      <c r="J33" s="70">
        <f>'6.Cons Profit &amp; Loss'!H9</f>
        <v>116037393.21016508</v>
      </c>
    </row>
    <row r="34" spans="2:13">
      <c r="B34" s="413" t="str">
        <f>'6.Cons Profit &amp; Loss'!A10</f>
        <v>Facility 2 - Besan Unit</v>
      </c>
      <c r="C34" s="416"/>
      <c r="D34" s="70">
        <f>'6.Cons Profit &amp; Loss'!B10</f>
        <v>5473757.6428499995</v>
      </c>
      <c r="E34" s="70">
        <f>'6.Cons Profit &amp; Loss'!C10</f>
        <v>5950121.4271500744</v>
      </c>
      <c r="F34" s="70">
        <f>'6.Cons Profit &amp; Loss'!D10</f>
        <v>6788029.5218665898</v>
      </c>
      <c r="G34" s="70">
        <f>'6.Cons Profit &amp; Loss'!E10</f>
        <v>7723534.6993910624</v>
      </c>
      <c r="H34" s="70">
        <f>'6.Cons Profit &amp; Loss'!F10</f>
        <v>8735620.3208633158</v>
      </c>
      <c r="I34" s="70">
        <f>'6.Cons Profit &amp; Loss'!G10</f>
        <v>9829605.6677343119</v>
      </c>
      <c r="J34" s="70">
        <f>'6.Cons Profit &amp; Loss'!H10</f>
        <v>11011150.498490252</v>
      </c>
    </row>
    <row r="35" spans="2:13">
      <c r="B35" s="413" t="str">
        <f>'6.Cons Profit &amp; Loss'!A11</f>
        <v>Facility 3 - Warehouse</v>
      </c>
      <c r="C35" s="416"/>
      <c r="D35" s="70">
        <f>'6.Cons Profit &amp; Loss'!B11</f>
        <v>1152000</v>
      </c>
      <c r="E35" s="70">
        <f>'6.Cons Profit &amp; Loss'!C11</f>
        <v>1285200.0000000002</v>
      </c>
      <c r="F35" s="70">
        <f>'6.Cons Profit &amp; Loss'!D11</f>
        <v>1428840.0000000002</v>
      </c>
      <c r="G35" s="70">
        <f>'6.Cons Profit &amp; Loss'!E11</f>
        <v>1583631.0000000007</v>
      </c>
      <c r="H35" s="70">
        <f>'6.Cons Profit &amp; Loss'!F11</f>
        <v>1750329.0000000009</v>
      </c>
      <c r="I35" s="70">
        <f>'6.Cons Profit &amp; Loss'!G11</f>
        <v>1837845.4500000011</v>
      </c>
      <c r="J35" s="70">
        <f>'6.Cons Profit &amp; Loss'!H11</f>
        <v>1929737.7225000013</v>
      </c>
    </row>
    <row r="36" spans="2:13">
      <c r="B36" s="413" t="str">
        <f>'6.Cons Profit &amp; Loss'!A12</f>
        <v xml:space="preserve">Facility 4 - Custom Hiring </v>
      </c>
      <c r="C36" s="416"/>
      <c r="D36" s="70">
        <f>'6.Cons Profit &amp; Loss'!B12</f>
        <v>0</v>
      </c>
      <c r="E36" s="70">
        <f>'6.Cons Profit &amp; Loss'!C12</f>
        <v>0</v>
      </c>
      <c r="F36" s="70">
        <f>'6.Cons Profit &amp; Loss'!D12</f>
        <v>0</v>
      </c>
      <c r="G36" s="70">
        <f>'6.Cons Profit &amp; Loss'!E12</f>
        <v>0</v>
      </c>
      <c r="H36" s="70">
        <f>'6.Cons Profit &amp; Loss'!F12</f>
        <v>0</v>
      </c>
      <c r="I36" s="70">
        <f>'6.Cons Profit &amp; Loss'!G12</f>
        <v>0</v>
      </c>
      <c r="J36" s="70">
        <f>'6.Cons Profit &amp; Loss'!H12</f>
        <v>0</v>
      </c>
    </row>
    <row r="37" spans="2:13">
      <c r="B37" s="413" t="str">
        <f>'6.Cons Profit &amp; Loss'!A13</f>
        <v>Faclitiy 5 - Agri Input Centre</v>
      </c>
      <c r="C37" s="416"/>
      <c r="D37" s="70">
        <f>'6.Cons Profit &amp; Loss'!B13</f>
        <v>0</v>
      </c>
      <c r="E37" s="70">
        <f>'6.Cons Profit &amp; Loss'!C13</f>
        <v>0</v>
      </c>
      <c r="F37" s="70">
        <f>'6.Cons Profit &amp; Loss'!D13</f>
        <v>0</v>
      </c>
      <c r="G37" s="70">
        <f>'6.Cons Profit &amp; Loss'!E13</f>
        <v>0</v>
      </c>
      <c r="H37" s="70">
        <f>'6.Cons Profit &amp; Loss'!F13</f>
        <v>0</v>
      </c>
      <c r="I37" s="70">
        <f>'6.Cons Profit &amp; Loss'!G13</f>
        <v>0</v>
      </c>
      <c r="J37" s="70">
        <f>'6.Cons Profit &amp; Loss'!H13</f>
        <v>0</v>
      </c>
    </row>
    <row r="38" spans="2:13">
      <c r="B38" s="413" t="str">
        <f>'6.Cons Profit &amp; Loss'!A14</f>
        <v>Facility 6 - F &amp; V Processing Unit &amp; Cold Storage</v>
      </c>
      <c r="C38" s="416"/>
      <c r="D38" s="70">
        <f>'6.Cons Profit &amp; Loss'!B14</f>
        <v>0</v>
      </c>
      <c r="E38" s="70">
        <f>'6.Cons Profit &amp; Loss'!C14</f>
        <v>0</v>
      </c>
      <c r="F38" s="70">
        <f>'6.Cons Profit &amp; Loss'!D14</f>
        <v>0</v>
      </c>
      <c r="G38" s="70">
        <f>'6.Cons Profit &amp; Loss'!E14</f>
        <v>0</v>
      </c>
      <c r="H38" s="70">
        <f>'6.Cons Profit &amp; Loss'!F14</f>
        <v>0</v>
      </c>
      <c r="I38" s="70">
        <f>'6.Cons Profit &amp; Loss'!G14</f>
        <v>0</v>
      </c>
      <c r="J38" s="70">
        <f>'6.Cons Profit &amp; Loss'!H14</f>
        <v>0</v>
      </c>
    </row>
    <row r="39" spans="2:13" hidden="1">
      <c r="B39" s="413" t="str">
        <f>'6.Cons Profit &amp; Loss'!A15</f>
        <v>Facility 6 - Cold Storage Unit</v>
      </c>
      <c r="C39" s="416"/>
      <c r="D39" s="70">
        <f>'6.Cons Profit &amp; Loss'!B15</f>
        <v>0</v>
      </c>
      <c r="E39" s="70">
        <f>'6.Cons Profit &amp; Loss'!C15</f>
        <v>0</v>
      </c>
      <c r="F39" s="70">
        <f>'6.Cons Profit &amp; Loss'!D15</f>
        <v>0</v>
      </c>
      <c r="G39" s="70">
        <f>'6.Cons Profit &amp; Loss'!E15</f>
        <v>0</v>
      </c>
      <c r="H39" s="70">
        <f>'6.Cons Profit &amp; Loss'!F15</f>
        <v>0</v>
      </c>
      <c r="I39" s="70">
        <f>'6.Cons Profit &amp; Loss'!G15</f>
        <v>0</v>
      </c>
      <c r="J39" s="70">
        <f>'6.Cons Profit &amp; Loss'!H15</f>
        <v>0</v>
      </c>
    </row>
    <row r="40" spans="2:13">
      <c r="B40" s="412" t="s">
        <v>8</v>
      </c>
      <c r="C40" s="415"/>
      <c r="D40" s="70">
        <f t="shared" ref="D40:J40" si="4">SUM(D32:D39)</f>
        <v>58869568.760166004</v>
      </c>
      <c r="E40" s="70">
        <f t="shared" si="4"/>
        <v>69676077.39555867</v>
      </c>
      <c r="F40" s="70">
        <f t="shared" si="4"/>
        <v>79759954.647810131</v>
      </c>
      <c r="G40" s="70">
        <f t="shared" si="4"/>
        <v>90706711.00870201</v>
      </c>
      <c r="H40" s="70">
        <f t="shared" si="4"/>
        <v>102548743.11906353</v>
      </c>
      <c r="I40" s="70">
        <f t="shared" si="4"/>
        <v>115256319.39043948</v>
      </c>
      <c r="J40" s="70">
        <f t="shared" si="4"/>
        <v>128978281.43115532</v>
      </c>
      <c r="L40">
        <v>0</v>
      </c>
      <c r="M40">
        <f>+L40*7</f>
        <v>0</v>
      </c>
    </row>
    <row r="41" spans="2:13">
      <c r="B41" s="412"/>
      <c r="C41" s="415"/>
      <c r="D41" s="70"/>
      <c r="E41" s="70"/>
      <c r="F41" s="70"/>
      <c r="G41" s="70"/>
      <c r="H41" s="70"/>
      <c r="I41" s="70"/>
      <c r="J41" s="70"/>
    </row>
    <row r="42" spans="2:13">
      <c r="B42" s="412" t="s">
        <v>37</v>
      </c>
      <c r="C42" s="415"/>
      <c r="D42" s="70">
        <f>'6.Cons Profit &amp; Loss'!B29</f>
        <v>48260438.728583276</v>
      </c>
      <c r="E42" s="70">
        <f>'6.Cons Profit &amp; Loss'!C29</f>
        <v>57791443.233587064</v>
      </c>
      <c r="F42" s="70">
        <f>'6.Cons Profit &amp; Loss'!D29</f>
        <v>66142537.061088637</v>
      </c>
      <c r="G42" s="70">
        <f>'6.Cons Profit &amp; Loss'!E29</f>
        <v>75202916.533429265</v>
      </c>
      <c r="H42" s="70">
        <f>'6.Cons Profit &amp; Loss'!F29</f>
        <v>85003977.61035125</v>
      </c>
      <c r="I42" s="70">
        <f>'6.Cons Profit &amp; Loss'!G29</f>
        <v>95597137.503631845</v>
      </c>
      <c r="J42" s="70">
        <f>'6.Cons Profit &amp; Loss'!H29</f>
        <v>107037103.44221462</v>
      </c>
    </row>
    <row r="43" spans="2:13">
      <c r="B43" s="412"/>
      <c r="C43" s="415"/>
      <c r="D43" s="70"/>
      <c r="E43" s="70"/>
      <c r="F43" s="70"/>
      <c r="G43" s="70"/>
      <c r="H43" s="70"/>
      <c r="I43" s="70"/>
      <c r="J43" s="70"/>
    </row>
    <row r="44" spans="2:13">
      <c r="B44" s="414" t="s">
        <v>38</v>
      </c>
      <c r="C44" s="417"/>
      <c r="D44" s="87">
        <f>D40-D42</f>
        <v>10609130.031582728</v>
      </c>
      <c r="E44" s="87">
        <f t="shared" ref="E44:J44" si="5">E40-E42</f>
        <v>11884634.161971606</v>
      </c>
      <c r="F44" s="87">
        <f t="shared" si="5"/>
        <v>13617417.586721495</v>
      </c>
      <c r="G44" s="87">
        <f t="shared" si="5"/>
        <v>15503794.475272745</v>
      </c>
      <c r="H44" s="87">
        <f t="shared" si="5"/>
        <v>17544765.508712277</v>
      </c>
      <c r="I44" s="87">
        <f t="shared" si="5"/>
        <v>19659181.886807635</v>
      </c>
      <c r="J44" s="87">
        <f t="shared" si="5"/>
        <v>21941177.988940701</v>
      </c>
      <c r="L44" s="51">
        <f>SUM(D44:J44)</f>
        <v>110760101.64000919</v>
      </c>
    </row>
    <row r="45" spans="2:13">
      <c r="B45" s="412"/>
      <c r="C45" s="415"/>
      <c r="D45" s="70"/>
      <c r="E45" s="70"/>
      <c r="F45" s="70"/>
      <c r="G45" s="70"/>
      <c r="H45" s="70"/>
      <c r="I45" s="70"/>
      <c r="J45" s="70"/>
    </row>
    <row r="46" spans="2:13">
      <c r="B46" s="414" t="s">
        <v>40</v>
      </c>
      <c r="C46" s="417"/>
      <c r="D46" s="87">
        <f>'6.Cons Profit &amp; Loss'!B41+'3.Other Exp &amp; Taxes (2)'!N63+'3.Other Exp &amp; Taxes (2)'!C84</f>
        <v>7364280.5441799993</v>
      </c>
      <c r="E46" s="87">
        <f>'6.Cons Profit &amp; Loss'!C41+'3.Other Exp &amp; Taxes (2)'!O63+'3.Other Exp &amp; Taxes (2)'!D84</f>
        <v>6884757.0525529999</v>
      </c>
      <c r="F46" s="87">
        <f>'6.Cons Profit &amp; Loss'!D41+'3.Other Exp &amp; Taxes (2)'!P63+'3.Other Exp &amp; Taxes (2)'!E84</f>
        <v>6491339.8346700491</v>
      </c>
      <c r="G46" s="87">
        <f>'6.Cons Profit &amp; Loss'!E41+'3.Other Exp &amp; Taxes (2)'!Q63+'3.Other Exp &amp; Taxes (2)'!F84</f>
        <v>6227826.1744695418</v>
      </c>
      <c r="H46" s="87">
        <f>'6.Cons Profit &amp; Loss'!F41+'3.Other Exp &amp; Taxes (2)'!R63+'3.Other Exp &amp; Taxes (2)'!G84</f>
        <v>5978586.7407991104</v>
      </c>
      <c r="I46" s="87">
        <f>'6.Cons Profit &amp; Loss'!G41+'3.Other Exp &amp; Taxes (2)'!S63+'3.Other Exp &amp; Taxes (2)'!H84</f>
        <v>5411123.831929245</v>
      </c>
      <c r="J46" s="87">
        <f>'6.Cons Profit &amp; Loss'!H41+'3.Other Exp &amp; Taxes (2)'!T63+'3.Other Exp &amp; Taxes (2)'!I84</f>
        <v>5272046.710664859</v>
      </c>
      <c r="L46" s="51">
        <f>SUM(D46:K46)</f>
        <v>43629960.889265805</v>
      </c>
    </row>
    <row r="47" spans="2:13">
      <c r="B47" s="412"/>
      <c r="C47" s="415"/>
      <c r="D47" s="69"/>
      <c r="E47" s="69"/>
      <c r="F47" s="69"/>
      <c r="G47" s="69"/>
      <c r="H47" s="69"/>
      <c r="I47" s="69"/>
      <c r="J47" s="69"/>
    </row>
    <row r="48" spans="2:13">
      <c r="B48" s="412" t="s">
        <v>39</v>
      </c>
      <c r="C48" s="415"/>
      <c r="D48" s="86">
        <f t="shared" ref="D48:J48" si="6">D46/D44</f>
        <v>0.69414556351529189</v>
      </c>
      <c r="E48" s="86">
        <f t="shared" si="6"/>
        <v>0.57929903089342127</v>
      </c>
      <c r="F48" s="86">
        <f t="shared" si="6"/>
        <v>0.4766938953975996</v>
      </c>
      <c r="G48" s="86">
        <f t="shared" si="6"/>
        <v>0.4016968997107388</v>
      </c>
      <c r="H48" s="86">
        <f t="shared" si="6"/>
        <v>0.3407618493293797</v>
      </c>
      <c r="I48" s="86">
        <f t="shared" si="6"/>
        <v>0.27524664368461838</v>
      </c>
      <c r="J48" s="86">
        <f t="shared" si="6"/>
        <v>0.24028093265193864</v>
      </c>
      <c r="L48" s="3">
        <f>+L46/L44</f>
        <v>0.3939140560837624</v>
      </c>
    </row>
    <row r="49" spans="2:10">
      <c r="B49" s="68"/>
      <c r="C49" s="68"/>
      <c r="D49" s="68"/>
      <c r="E49" s="68"/>
      <c r="F49" s="68"/>
      <c r="G49" s="68"/>
      <c r="H49" s="68"/>
      <c r="I49" s="68"/>
      <c r="J49" s="68"/>
    </row>
    <row r="50" spans="2:10">
      <c r="B50" s="88" t="s">
        <v>133</v>
      </c>
      <c r="C50" s="88"/>
      <c r="D50" s="285">
        <f>AVERAGE(D48:J48)</f>
        <v>0.42973211645471265</v>
      </c>
      <c r="E50" s="68"/>
      <c r="F50" s="291"/>
      <c r="G50" s="68"/>
      <c r="H50" s="68"/>
      <c r="I50" s="68"/>
      <c r="J50" s="68"/>
    </row>
    <row r="52" spans="2:10" ht="41.45" customHeight="1">
      <c r="B52" s="1159" t="s">
        <v>428</v>
      </c>
      <c r="C52" s="1159"/>
      <c r="D52" s="1159"/>
      <c r="E52" s="1159"/>
      <c r="F52" s="1159"/>
      <c r="G52" s="1159"/>
      <c r="H52" s="1159"/>
      <c r="I52" s="1159"/>
      <c r="J52" s="1159"/>
    </row>
    <row r="55" spans="2:10" ht="18.75">
      <c r="B55" s="724" t="s">
        <v>560</v>
      </c>
      <c r="C55" s="724"/>
      <c r="D55" s="724"/>
      <c r="E55" s="724"/>
      <c r="F55" s="724"/>
      <c r="G55" s="724"/>
      <c r="H55" s="724"/>
      <c r="I55" s="724"/>
      <c r="J55" s="724"/>
    </row>
    <row r="57" spans="2:10">
      <c r="B57" s="418" t="s">
        <v>29</v>
      </c>
      <c r="C57" s="421"/>
      <c r="D57" s="60" t="s">
        <v>2</v>
      </c>
      <c r="E57" s="60" t="s">
        <v>3</v>
      </c>
      <c r="F57" s="60" t="s">
        <v>4</v>
      </c>
      <c r="G57" s="60" t="s">
        <v>5</v>
      </c>
      <c r="H57" s="60" t="s">
        <v>6</v>
      </c>
      <c r="I57" s="60" t="s">
        <v>170</v>
      </c>
      <c r="J57" s="60" t="s">
        <v>169</v>
      </c>
    </row>
    <row r="58" spans="2:10">
      <c r="B58" s="412"/>
      <c r="C58" s="415"/>
      <c r="D58" s="69"/>
      <c r="E58" s="69"/>
      <c r="F58" s="69"/>
      <c r="G58" s="69"/>
      <c r="H58" s="69"/>
      <c r="I58" s="69"/>
      <c r="J58" s="69"/>
    </row>
    <row r="59" spans="2:10">
      <c r="B59" s="412" t="s">
        <v>379</v>
      </c>
      <c r="C59" s="415"/>
      <c r="D59" s="244">
        <f>'6.Cons Profit &amp; Loss'!B56</f>
        <v>3603790.6818842422</v>
      </c>
      <c r="E59" s="244">
        <f>'6.Cons Profit &amp; Loss'!C56</f>
        <v>4376442.1697144369</v>
      </c>
      <c r="F59" s="244">
        <f>'6.Cons Profit &amp; Loss'!D56</f>
        <v>5537865.1551412223</v>
      </c>
      <c r="G59" s="244">
        <f>'6.Cons Profit &amp; Loss'!E56</f>
        <v>6801786.892921797</v>
      </c>
      <c r="H59" s="244">
        <f>'6.Cons Profit &amp; Loss'!F56</f>
        <v>8247350.7956031095</v>
      </c>
      <c r="I59" s="244">
        <f>'6.Cons Profit &amp; Loss'!G56</f>
        <v>10055297.498759158</v>
      </c>
      <c r="J59" s="244">
        <f>'6.Cons Profit &amp; Loss'!H56</f>
        <v>11738443.61487742</v>
      </c>
    </row>
    <row r="60" spans="2:10">
      <c r="B60" s="412"/>
      <c r="C60" s="415"/>
      <c r="D60" s="244"/>
      <c r="E60" s="244"/>
      <c r="F60" s="244"/>
      <c r="G60" s="244"/>
      <c r="H60" s="244"/>
      <c r="I60" s="244"/>
      <c r="J60" s="244"/>
    </row>
    <row r="61" spans="2:10">
      <c r="B61" s="412" t="s">
        <v>41</v>
      </c>
      <c r="C61" s="415"/>
      <c r="D61" s="244">
        <f>'6.Cons Profit &amp; Loss'!B47</f>
        <v>1749940.8064439599</v>
      </c>
      <c r="E61" s="244">
        <f>'6.Cons Profit &amp; Loss'!C47</f>
        <v>1749940.8064439599</v>
      </c>
      <c r="F61" s="244">
        <f>'6.Cons Profit &amp; Loss'!D47</f>
        <v>1749940.8064439599</v>
      </c>
      <c r="G61" s="244">
        <f>'6.Cons Profit &amp; Loss'!E47</f>
        <v>1749940.8064439599</v>
      </c>
      <c r="H61" s="244">
        <f>'6.Cons Profit &amp; Loss'!F47</f>
        <v>1749940.8064439599</v>
      </c>
      <c r="I61" s="244">
        <f>'6.Cons Profit &amp; Loss'!G47</f>
        <v>1749940.8064439599</v>
      </c>
      <c r="J61" s="244">
        <f>'6.Cons Profit &amp; Loss'!H47</f>
        <v>1749940.8064439599</v>
      </c>
    </row>
    <row r="62" spans="2:10">
      <c r="B62" s="419" t="s">
        <v>47</v>
      </c>
      <c r="C62" s="422"/>
      <c r="D62" s="244">
        <f>'6.Cons Profit &amp; Loss'!B48</f>
        <v>376640.6</v>
      </c>
      <c r="E62" s="244">
        <f>'6.Cons Profit &amp; Loss'!C48</f>
        <v>376640.6</v>
      </c>
      <c r="F62" s="244">
        <f>'6.Cons Profit &amp; Loss'!D48</f>
        <v>376640.6</v>
      </c>
      <c r="G62" s="244">
        <f>'6.Cons Profit &amp; Loss'!E48</f>
        <v>376640.6</v>
      </c>
      <c r="H62" s="244">
        <f>'6.Cons Profit &amp; Loss'!F48</f>
        <v>376640.6</v>
      </c>
      <c r="I62" s="244">
        <f>'6.Cons Profit &amp; Loss'!G48</f>
        <v>0</v>
      </c>
      <c r="J62" s="244">
        <f>'6.Cons Profit &amp; Loss'!H48</f>
        <v>0</v>
      </c>
    </row>
    <row r="63" spans="2:10">
      <c r="B63" s="412"/>
      <c r="C63" s="415"/>
      <c r="D63" s="244"/>
      <c r="E63" s="244"/>
      <c r="F63" s="244"/>
      <c r="G63" s="244"/>
      <c r="H63" s="244"/>
      <c r="I63" s="244"/>
      <c r="J63" s="244"/>
    </row>
    <row r="64" spans="2:10">
      <c r="B64" s="412" t="s">
        <v>32</v>
      </c>
      <c r="C64" s="415"/>
      <c r="D64" s="244">
        <f>SUM(D59:D62)</f>
        <v>5730372.0883282013</v>
      </c>
      <c r="E64" s="244">
        <f t="shared" ref="E64:J64" si="7">SUM(E59:E62)</f>
        <v>6503023.5761583969</v>
      </c>
      <c r="F64" s="244">
        <f t="shared" si="7"/>
        <v>7664446.5615851823</v>
      </c>
      <c r="G64" s="244">
        <f t="shared" si="7"/>
        <v>8928368.299365757</v>
      </c>
      <c r="H64" s="244">
        <f t="shared" si="7"/>
        <v>10373932.202047069</v>
      </c>
      <c r="I64" s="244">
        <f t="shared" si="7"/>
        <v>11805238.305203117</v>
      </c>
      <c r="J64" s="244">
        <f t="shared" si="7"/>
        <v>13488384.421321379</v>
      </c>
    </row>
    <row r="65" spans="2:10">
      <c r="B65" s="412"/>
      <c r="C65" s="415"/>
      <c r="D65" s="69"/>
      <c r="E65" s="69"/>
      <c r="F65" s="69"/>
      <c r="G65" s="69"/>
      <c r="H65" s="69"/>
      <c r="I65" s="69"/>
      <c r="J65" s="69"/>
    </row>
    <row r="66" spans="2:10" ht="16.5">
      <c r="B66" s="420" t="s">
        <v>42</v>
      </c>
      <c r="C66" s="423"/>
      <c r="D66" s="82">
        <f>1/1.1</f>
        <v>0.90909090909090906</v>
      </c>
      <c r="E66" s="82">
        <f t="shared" ref="E66:J66" si="8">D66/1.1</f>
        <v>0.82644628099173545</v>
      </c>
      <c r="F66" s="82">
        <f t="shared" si="8"/>
        <v>0.75131480090157765</v>
      </c>
      <c r="G66" s="82">
        <f t="shared" si="8"/>
        <v>0.68301345536507052</v>
      </c>
      <c r="H66" s="82">
        <f t="shared" si="8"/>
        <v>0.62092132305915493</v>
      </c>
      <c r="I66" s="82">
        <f t="shared" si="8"/>
        <v>0.56447393005377711</v>
      </c>
      <c r="J66" s="82">
        <f t="shared" si="8"/>
        <v>0.51315811823070645</v>
      </c>
    </row>
    <row r="67" spans="2:10">
      <c r="B67" s="412"/>
      <c r="C67" s="415"/>
      <c r="D67" s="69"/>
      <c r="E67" s="69"/>
      <c r="F67" s="69"/>
      <c r="G67" s="69"/>
      <c r="H67" s="69"/>
      <c r="I67" s="69"/>
      <c r="J67" s="69"/>
    </row>
    <row r="68" spans="2:10" ht="16.5">
      <c r="B68" s="420" t="s">
        <v>43</v>
      </c>
      <c r="C68" s="423"/>
      <c r="D68" s="70">
        <f>D64*D66</f>
        <v>5209429.1712074559</v>
      </c>
      <c r="E68" s="70">
        <f t="shared" ref="E68:J68" si="9">E64*E66</f>
        <v>5374399.649717683</v>
      </c>
      <c r="F68" s="70">
        <f t="shared" si="9"/>
        <v>5758412.1424381528</v>
      </c>
      <c r="G68" s="70">
        <f t="shared" si="9"/>
        <v>6098195.6829217644</v>
      </c>
      <c r="H68" s="70">
        <f t="shared" si="9"/>
        <v>6441395.7082210388</v>
      </c>
      <c r="I68" s="70">
        <f t="shared" si="9"/>
        <v>6663749.2613593945</v>
      </c>
      <c r="J68" s="70">
        <f t="shared" si="9"/>
        <v>6921673.9676176552</v>
      </c>
    </row>
    <row r="69" spans="2:10">
      <c r="B69" s="68"/>
      <c r="C69" s="68"/>
      <c r="D69" s="84"/>
      <c r="E69" s="84"/>
      <c r="F69" s="84"/>
      <c r="G69" s="84"/>
      <c r="H69" s="84"/>
      <c r="I69" s="84"/>
      <c r="J69" s="84"/>
    </row>
    <row r="70" spans="2:10" ht="16.5">
      <c r="B70" s="10" t="s">
        <v>44</v>
      </c>
      <c r="C70" s="10"/>
      <c r="D70" s="84">
        <f>SUM(D68:J68)</f>
        <v>42467255.583483145</v>
      </c>
      <c r="E70" s="84"/>
      <c r="F70" s="84"/>
      <c r="G70" s="84"/>
      <c r="H70" s="84"/>
      <c r="I70" s="84"/>
      <c r="J70" s="84"/>
    </row>
    <row r="71" spans="2:10">
      <c r="B71" s="68"/>
      <c r="C71" s="68"/>
      <c r="D71" s="84"/>
      <c r="E71" s="84"/>
      <c r="F71" s="84"/>
      <c r="G71" s="84"/>
      <c r="H71" s="84"/>
      <c r="I71" s="84"/>
      <c r="J71" s="84"/>
    </row>
    <row r="72" spans="2:10" ht="16.5">
      <c r="B72" s="10" t="s">
        <v>45</v>
      </c>
      <c r="C72" s="10"/>
      <c r="D72" s="84">
        <f>'1.Project Cost and MOF old'!D12</f>
        <v>39971326.963150658</v>
      </c>
      <c r="E72" s="84"/>
      <c r="F72" s="84"/>
      <c r="G72" s="84"/>
      <c r="H72" s="84"/>
      <c r="I72" s="84"/>
      <c r="J72" s="84"/>
    </row>
    <row r="73" spans="2:10">
      <c r="B73" s="68"/>
      <c r="C73" s="68"/>
      <c r="D73" s="83"/>
      <c r="E73" s="68"/>
      <c r="F73" s="68"/>
      <c r="G73" s="68"/>
      <c r="H73" s="68"/>
      <c r="I73" s="68"/>
      <c r="J73" s="68"/>
    </row>
    <row r="74" spans="2:10" ht="16.5">
      <c r="B74" s="10" t="s">
        <v>46</v>
      </c>
      <c r="C74" s="10"/>
      <c r="D74" s="83">
        <f>D70-D72</f>
        <v>2495928.6203324869</v>
      </c>
      <c r="E74" s="150"/>
      <c r="F74" s="68"/>
      <c r="G74" s="68"/>
      <c r="H74" s="68"/>
      <c r="I74" s="68"/>
      <c r="J74" s="68"/>
    </row>
    <row r="76" spans="2:10" ht="35.1" customHeight="1">
      <c r="B76" s="1118" t="s">
        <v>429</v>
      </c>
      <c r="C76" s="1118"/>
      <c r="D76" s="1118"/>
      <c r="E76" s="1118"/>
      <c r="F76" s="1118"/>
      <c r="G76" s="1118"/>
      <c r="H76" s="1118"/>
      <c r="I76" s="1118"/>
      <c r="J76" s="1118"/>
    </row>
    <row r="77" spans="2:10" ht="18.75">
      <c r="B77" s="724" t="s">
        <v>561</v>
      </c>
      <c r="C77" s="724"/>
      <c r="D77" s="724"/>
      <c r="E77" s="724"/>
      <c r="F77" s="724"/>
      <c r="G77" s="724"/>
      <c r="H77" s="724"/>
      <c r="I77" s="724"/>
      <c r="J77" s="724"/>
    </row>
    <row r="78" spans="2:10">
      <c r="B78" s="68"/>
      <c r="C78" s="68"/>
      <c r="D78" s="68"/>
      <c r="E78" s="68"/>
      <c r="F78" s="68"/>
      <c r="G78" s="68"/>
      <c r="H78" s="68"/>
      <c r="I78" s="68"/>
    </row>
    <row r="79" spans="2:10" ht="15.75">
      <c r="B79" s="1164" t="s">
        <v>0</v>
      </c>
      <c r="C79" s="1164"/>
      <c r="D79" s="55" t="s">
        <v>2</v>
      </c>
      <c r="E79" s="55" t="s">
        <v>3</v>
      </c>
      <c r="F79" s="55" t="s">
        <v>4</v>
      </c>
      <c r="G79" s="55" t="s">
        <v>5</v>
      </c>
      <c r="H79" s="55" t="s">
        <v>6</v>
      </c>
      <c r="I79" s="55" t="s">
        <v>170</v>
      </c>
      <c r="J79" s="55" t="s">
        <v>169</v>
      </c>
    </row>
    <row r="80" spans="2:10" ht="15.75">
      <c r="B80" s="788"/>
      <c r="C80" s="788"/>
      <c r="D80" s="53"/>
      <c r="E80" s="53"/>
      <c r="F80" s="53"/>
      <c r="G80" s="53"/>
      <c r="H80" s="53"/>
      <c r="I80" s="53"/>
      <c r="J80" s="53"/>
    </row>
    <row r="81" spans="2:12">
      <c r="B81" s="1165" t="s">
        <v>27</v>
      </c>
      <c r="C81" s="1165"/>
      <c r="D81" s="70">
        <f>'6.Cons Profit &amp; Loss'!B56</f>
        <v>3603790.6818842422</v>
      </c>
      <c r="E81" s="70">
        <f>'6.Cons Profit &amp; Loss'!C56</f>
        <v>4376442.1697144369</v>
      </c>
      <c r="F81" s="70">
        <f>'6.Cons Profit &amp; Loss'!D56</f>
        <v>5537865.1551412223</v>
      </c>
      <c r="G81" s="70">
        <f>'6.Cons Profit &amp; Loss'!E56</f>
        <v>6801786.892921797</v>
      </c>
      <c r="H81" s="70">
        <f>'6.Cons Profit &amp; Loss'!F56</f>
        <v>8247350.7956031095</v>
      </c>
      <c r="I81" s="70">
        <f>'6.Cons Profit &amp; Loss'!G56</f>
        <v>10055297.498759158</v>
      </c>
      <c r="J81" s="70">
        <f>'6.Cons Profit &amp; Loss'!H56</f>
        <v>11738443.61487742</v>
      </c>
    </row>
    <row r="82" spans="2:12">
      <c r="B82" s="788"/>
      <c r="C82" s="788"/>
      <c r="D82" s="69"/>
      <c r="E82" s="69"/>
      <c r="F82" s="69"/>
      <c r="G82" s="69"/>
      <c r="H82" s="69"/>
      <c r="I82" s="69"/>
      <c r="J82" s="69"/>
    </row>
    <row r="83" spans="2:12">
      <c r="B83" s="1165" t="s">
        <v>123</v>
      </c>
      <c r="C83" s="1165"/>
      <c r="D83" s="1169">
        <f>AVERAGE(D81:J81)</f>
        <v>7194425.2584144836</v>
      </c>
      <c r="E83" s="1169"/>
      <c r="F83" s="1169"/>
      <c r="G83" s="1169"/>
      <c r="H83" s="1169"/>
      <c r="I83" s="1169"/>
      <c r="J83" s="1169"/>
      <c r="L83" s="224">
        <f>+D83</f>
        <v>7194425.2584144836</v>
      </c>
    </row>
    <row r="84" spans="2:12">
      <c r="B84" s="1165" t="s">
        <v>124</v>
      </c>
      <c r="C84" s="1165"/>
      <c r="D84" s="1169">
        <f>'1.Project Cost and MOF old'!D12</f>
        <v>39971326.963150658</v>
      </c>
      <c r="E84" s="1169"/>
      <c r="F84" s="1169"/>
      <c r="G84" s="1169"/>
      <c r="H84" s="1169"/>
      <c r="I84" s="1169"/>
      <c r="J84" s="1169"/>
    </row>
    <row r="85" spans="2:12">
      <c r="B85" s="788"/>
      <c r="C85" s="788"/>
      <c r="D85" s="69"/>
      <c r="E85" s="69"/>
      <c r="F85" s="69"/>
      <c r="G85" s="69"/>
      <c r="H85" s="69"/>
      <c r="I85" s="69"/>
      <c r="J85" s="69"/>
    </row>
    <row r="86" spans="2:12">
      <c r="B86" s="1163" t="s">
        <v>125</v>
      </c>
      <c r="C86" s="1163"/>
      <c r="D86" s="1170">
        <f>D83/D84</f>
        <v>0.17998965270897771</v>
      </c>
      <c r="E86" s="1170"/>
      <c r="F86" s="1170"/>
      <c r="G86" s="1170"/>
      <c r="H86" s="1170"/>
      <c r="I86" s="1170"/>
      <c r="J86" s="1170"/>
    </row>
    <row r="89" spans="2:12">
      <c r="B89" s="1168" t="s">
        <v>430</v>
      </c>
      <c r="C89" s="1168"/>
      <c r="D89" s="1168"/>
      <c r="E89" s="1168"/>
      <c r="F89" s="1168"/>
      <c r="G89" s="1168"/>
      <c r="H89" s="1168"/>
      <c r="I89" s="1168"/>
    </row>
    <row r="91" spans="2:12" ht="18.75">
      <c r="B91" s="724" t="s">
        <v>562</v>
      </c>
      <c r="C91" s="724"/>
      <c r="D91" s="724"/>
      <c r="E91" s="724"/>
      <c r="F91" s="724"/>
      <c r="G91" s="724"/>
      <c r="H91" s="724"/>
      <c r="I91" s="724"/>
      <c r="J91" s="724"/>
    </row>
    <row r="93" spans="2:12">
      <c r="B93" s="76" t="s">
        <v>0</v>
      </c>
      <c r="C93" s="76" t="s">
        <v>341</v>
      </c>
      <c r="D93" s="76" t="s">
        <v>2</v>
      </c>
      <c r="E93" s="76" t="s">
        <v>3</v>
      </c>
      <c r="F93" s="76" t="s">
        <v>4</v>
      </c>
      <c r="G93" s="76" t="s">
        <v>5</v>
      </c>
      <c r="H93" s="76" t="s">
        <v>6</v>
      </c>
      <c r="I93" s="76" t="s">
        <v>170</v>
      </c>
      <c r="J93" s="76" t="s">
        <v>169</v>
      </c>
    </row>
    <row r="94" spans="2:12">
      <c r="B94" s="77"/>
      <c r="C94" s="77"/>
      <c r="D94" s="78"/>
      <c r="E94" s="78"/>
      <c r="F94" s="78"/>
      <c r="G94" s="78"/>
      <c r="H94" s="78"/>
      <c r="I94" s="78"/>
      <c r="J94" s="78"/>
    </row>
    <row r="95" spans="2:12">
      <c r="B95" s="9" t="s">
        <v>283</v>
      </c>
      <c r="C95" s="79">
        <f>'1.Project Cost and MOF old'!D12</f>
        <v>39971326.963150658</v>
      </c>
      <c r="D95" s="78"/>
      <c r="E95" s="78"/>
      <c r="F95" s="78"/>
      <c r="G95" s="78"/>
      <c r="H95" s="78"/>
      <c r="I95" s="78"/>
      <c r="J95" s="78"/>
    </row>
    <row r="96" spans="2:12">
      <c r="B96" s="9" t="str">
        <f>B59</f>
        <v>Profit after Tax &amp; Dividend</v>
      </c>
      <c r="C96" s="9"/>
      <c r="D96" s="19">
        <f>'6.Cons Profit &amp; Loss'!B56</f>
        <v>3603790.6818842422</v>
      </c>
      <c r="E96" s="19">
        <f>'6.Cons Profit &amp; Loss'!C56</f>
        <v>4376442.1697144369</v>
      </c>
      <c r="F96" s="19">
        <f>'6.Cons Profit &amp; Loss'!D56</f>
        <v>5537865.1551412223</v>
      </c>
      <c r="G96" s="19">
        <f>'6.Cons Profit &amp; Loss'!E56</f>
        <v>6801786.892921797</v>
      </c>
      <c r="H96" s="19">
        <f>'6.Cons Profit &amp; Loss'!F56</f>
        <v>8247350.7956031095</v>
      </c>
      <c r="I96" s="19">
        <f>'6.Cons Profit &amp; Loss'!G56</f>
        <v>10055297.498759158</v>
      </c>
      <c r="J96" s="19">
        <f>'6.Cons Profit &amp; Loss'!H56</f>
        <v>11738443.61487742</v>
      </c>
    </row>
    <row r="97" spans="2:12">
      <c r="B97" s="9" t="str">
        <f>B61</f>
        <v>Add: Deprication</v>
      </c>
      <c r="C97" s="9"/>
      <c r="D97" s="66">
        <f>'6.Cons Profit &amp; Loss'!B47</f>
        <v>1749940.8064439599</v>
      </c>
      <c r="E97" s="66">
        <f>'6.Cons Profit &amp; Loss'!C47</f>
        <v>1749940.8064439599</v>
      </c>
      <c r="F97" s="66">
        <f>'6.Cons Profit &amp; Loss'!D47</f>
        <v>1749940.8064439599</v>
      </c>
      <c r="G97" s="66">
        <f>'6.Cons Profit &amp; Loss'!E47</f>
        <v>1749940.8064439599</v>
      </c>
      <c r="H97" s="66">
        <f>'6.Cons Profit &amp; Loss'!F47</f>
        <v>1749940.8064439599</v>
      </c>
      <c r="I97" s="66">
        <f>'6.Cons Profit &amp; Loss'!G47</f>
        <v>1749940.8064439599</v>
      </c>
      <c r="J97" s="66">
        <f>'6.Cons Profit &amp; Loss'!H47</f>
        <v>1749940.8064439599</v>
      </c>
    </row>
    <row r="98" spans="2:12">
      <c r="B98" s="9" t="str">
        <f>B62</f>
        <v>Add. Preliminary exp Written off</v>
      </c>
      <c r="C98" s="9"/>
      <c r="D98" s="66">
        <f>'6.Cons Profit &amp; Loss'!B48</f>
        <v>376640.6</v>
      </c>
      <c r="E98" s="66">
        <f>'6.Cons Profit &amp; Loss'!C48</f>
        <v>376640.6</v>
      </c>
      <c r="F98" s="66">
        <f>'6.Cons Profit &amp; Loss'!D48</f>
        <v>376640.6</v>
      </c>
      <c r="G98" s="66">
        <f>'6.Cons Profit &amp; Loss'!E48</f>
        <v>376640.6</v>
      </c>
      <c r="H98" s="66">
        <f>'6.Cons Profit &amp; Loss'!F48</f>
        <v>376640.6</v>
      </c>
      <c r="I98" s="66">
        <f>'6.Cons Profit &amp; Loss'!G48</f>
        <v>0</v>
      </c>
      <c r="J98" s="66">
        <f>'6.Cons Profit &amp; Loss'!H48</f>
        <v>0</v>
      </c>
    </row>
    <row r="99" spans="2:12">
      <c r="B99" s="9" t="str">
        <f>B64</f>
        <v xml:space="preserve">Net Cash Accrual (A)      </v>
      </c>
      <c r="C99" s="9"/>
      <c r="D99" s="196">
        <f>SUM(D96:D98)</f>
        <v>5730372.0883282013</v>
      </c>
      <c r="E99" s="196">
        <f t="shared" ref="E99:J99" si="10">SUM(E96:E98)</f>
        <v>6503023.5761583969</v>
      </c>
      <c r="F99" s="196">
        <f t="shared" si="10"/>
        <v>7664446.5615851823</v>
      </c>
      <c r="G99" s="196">
        <f t="shared" si="10"/>
        <v>8928368.299365757</v>
      </c>
      <c r="H99" s="196">
        <f t="shared" si="10"/>
        <v>10373932.202047069</v>
      </c>
      <c r="I99" s="196">
        <f t="shared" si="10"/>
        <v>11805238.305203117</v>
      </c>
      <c r="J99" s="196">
        <f t="shared" si="10"/>
        <v>13488384.421321379</v>
      </c>
    </row>
    <row r="100" spans="2:12">
      <c r="B100" s="9" t="s">
        <v>284</v>
      </c>
      <c r="C100" s="80"/>
      <c r="D100" s="54">
        <f>D99-C95</f>
        <v>-34240954.874822453</v>
      </c>
      <c r="E100" s="54">
        <f>D100+E99</f>
        <v>-27737931.298664056</v>
      </c>
      <c r="F100" s="54">
        <f>E100+F99</f>
        <v>-20073484.737078875</v>
      </c>
      <c r="G100" s="54">
        <f>F100+G99</f>
        <v>-11145116.437713118</v>
      </c>
      <c r="H100" s="54">
        <f>G100+H99</f>
        <v>-771184.23566604964</v>
      </c>
      <c r="I100" s="54"/>
      <c r="J100" s="67"/>
    </row>
    <row r="102" spans="2:12">
      <c r="B102" s="5" t="s">
        <v>285</v>
      </c>
      <c r="D102" s="49">
        <f>4+(-G100/H99)</f>
        <v>5.0743386616228197</v>
      </c>
    </row>
    <row r="104" spans="2:12">
      <c r="B104" s="1168" t="s">
        <v>431</v>
      </c>
      <c r="C104" s="1168"/>
      <c r="D104" s="1168"/>
      <c r="E104" s="1168"/>
      <c r="F104" s="1168"/>
      <c r="G104" s="1168"/>
      <c r="H104" s="1168"/>
      <c r="I104" s="1168"/>
      <c r="J104" s="1168"/>
    </row>
    <row r="106" spans="2:12" ht="18.75">
      <c r="B106" s="724" t="s">
        <v>563</v>
      </c>
      <c r="C106" s="724"/>
      <c r="D106" s="724"/>
      <c r="E106" s="724"/>
      <c r="F106" s="724"/>
      <c r="G106" s="724"/>
      <c r="H106" s="724"/>
      <c r="I106" s="724"/>
    </row>
    <row r="108" spans="2:12" ht="15.75">
      <c r="B108" s="424" t="s">
        <v>0</v>
      </c>
      <c r="C108" s="426"/>
      <c r="D108" s="55" t="s">
        <v>2</v>
      </c>
      <c r="E108" s="55" t="s">
        <v>3</v>
      </c>
      <c r="F108" s="55" t="s">
        <v>4</v>
      </c>
      <c r="G108" s="55" t="s">
        <v>5</v>
      </c>
      <c r="H108" s="55" t="s">
        <v>6</v>
      </c>
      <c r="I108" s="55" t="s">
        <v>170</v>
      </c>
      <c r="J108" s="55" t="s">
        <v>169</v>
      </c>
    </row>
    <row r="109" spans="2:12" ht="15.75">
      <c r="B109" s="425"/>
      <c r="C109" s="427"/>
      <c r="D109" s="53"/>
      <c r="E109" s="53"/>
      <c r="F109" s="53"/>
      <c r="G109" s="53"/>
      <c r="H109" s="53"/>
      <c r="I109" s="53"/>
      <c r="J109" s="53"/>
    </row>
    <row r="110" spans="2:12">
      <c r="B110" s="412" t="s">
        <v>344</v>
      </c>
      <c r="C110" s="415"/>
      <c r="D110" s="70">
        <f>'6.Cons Profit &amp; Loss'!B54</f>
        <v>3861714.7379363133</v>
      </c>
      <c r="E110" s="70">
        <f>'6.Cons Profit &amp; Loss'!C54</f>
        <v>5115919.5969271436</v>
      </c>
      <c r="F110" s="70">
        <f>'6.Cons Profit &amp; Loss'!D54</f>
        <v>6867317.7889222149</v>
      </c>
      <c r="G110" s="70">
        <f>'6.Cons Profit &amp; Loss'!E54</f>
        <v>8732946.423290737</v>
      </c>
      <c r="H110" s="70">
        <f>'6.Cons Profit &amp; Loss'!F54</f>
        <v>10823097.788744284</v>
      </c>
      <c r="I110" s="70">
        <f>'6.Cons Profit &amp; Loss'!G54</f>
        <v>13384886.506598625</v>
      </c>
      <c r="J110" s="70">
        <f>'6.Cons Profit &amp; Loss'!H54</f>
        <v>15762423.63198309</v>
      </c>
      <c r="L110" t="s">
        <v>2017</v>
      </c>
    </row>
    <row r="111" spans="2:12">
      <c r="B111" s="414" t="s">
        <v>1</v>
      </c>
      <c r="C111" s="417"/>
      <c r="D111" s="72">
        <f t="shared" ref="D111:J111" si="11">SUM(D110:D110)</f>
        <v>3861714.7379363133</v>
      </c>
      <c r="E111" s="72">
        <f t="shared" si="11"/>
        <v>5115919.5969271436</v>
      </c>
      <c r="F111" s="72">
        <f t="shared" si="11"/>
        <v>6867317.7889222149</v>
      </c>
      <c r="G111" s="72">
        <f t="shared" si="11"/>
        <v>8732946.423290737</v>
      </c>
      <c r="H111" s="72">
        <f t="shared" si="11"/>
        <v>10823097.788744284</v>
      </c>
      <c r="I111" s="72">
        <f t="shared" si="11"/>
        <v>13384886.506598625</v>
      </c>
      <c r="J111" s="72">
        <f t="shared" si="11"/>
        <v>15762423.63198309</v>
      </c>
      <c r="K111" s="51" t="e">
        <f>+#REF!-#REF!</f>
        <v>#REF!</v>
      </c>
    </row>
    <row r="112" spans="2:12">
      <c r="B112" s="412"/>
      <c r="C112" s="415"/>
      <c r="D112" s="69"/>
      <c r="E112" s="69"/>
      <c r="F112" s="69"/>
      <c r="G112" s="69"/>
      <c r="H112" s="69"/>
      <c r="I112" s="69"/>
      <c r="J112" s="69"/>
    </row>
    <row r="113" spans="2:18">
      <c r="B113" s="412" t="s">
        <v>286</v>
      </c>
      <c r="C113" s="415"/>
      <c r="D113" s="73">
        <f>'8.Cash Flow '!C28+'8.Cash Flow '!C29</f>
        <v>2586762.5173064964</v>
      </c>
      <c r="E113" s="73">
        <f>'8.Cash Flow '!D28+'8.Cash Flow '!D29</f>
        <v>3359836.3508033934</v>
      </c>
      <c r="F113" s="73">
        <f>'8.Cash Flow '!E28+'8.Cash Flow '!E29</f>
        <v>3359836.3508033939</v>
      </c>
      <c r="G113" s="73">
        <f>'8.Cash Flow '!F28+'8.Cash Flow '!F29</f>
        <v>3359836.3508033934</v>
      </c>
      <c r="H113" s="73">
        <f>'8.Cash Flow '!G28+'8.Cash Flow '!G29</f>
        <v>3359836.3508033939</v>
      </c>
      <c r="I113" s="73">
        <f>'8.Cash Flow '!H28+'8.Cash Flow '!H29</f>
        <v>3359836.3508033934</v>
      </c>
      <c r="J113" s="73">
        <f>'8.Cash Flow '!I28+'8.Cash Flow '!I29</f>
        <v>3359836.3508033934</v>
      </c>
      <c r="K113" s="51">
        <f>+M113+L113</f>
        <v>37745780.622126862</v>
      </c>
      <c r="L113" s="567">
        <v>15000000</v>
      </c>
      <c r="M113" s="51">
        <f>SUM(D113:J113)</f>
        <v>22745780.622126859</v>
      </c>
    </row>
    <row r="114" spans="2:18">
      <c r="B114" s="412"/>
      <c r="C114" s="415"/>
      <c r="D114" s="69"/>
      <c r="E114" s="69"/>
      <c r="F114" s="69"/>
      <c r="G114" s="69"/>
      <c r="H114" s="69"/>
      <c r="I114" s="69"/>
      <c r="J114" s="69"/>
    </row>
    <row r="115" spans="2:18">
      <c r="B115" s="414" t="s">
        <v>342</v>
      </c>
      <c r="C115" s="417"/>
      <c r="D115" s="74">
        <f>D111/D113</f>
        <v>1.4928756358961699</v>
      </c>
      <c r="E115" s="74">
        <f t="shared" ref="E115:K115" si="12">E111/E113</f>
        <v>1.5226692799200894</v>
      </c>
      <c r="F115" s="74">
        <f t="shared" si="12"/>
        <v>2.0439441305765151</v>
      </c>
      <c r="G115" s="74">
        <f t="shared" si="12"/>
        <v>2.5992177926173525</v>
      </c>
      <c r="H115" s="74">
        <f t="shared" si="12"/>
        <v>3.2213169507962189</v>
      </c>
      <c r="I115" s="74">
        <f t="shared" si="12"/>
        <v>3.9837912056038305</v>
      </c>
      <c r="J115" s="74">
        <f t="shared" si="12"/>
        <v>4.6914260059761625</v>
      </c>
      <c r="K115" s="74" t="e">
        <f t="shared" si="12"/>
        <v>#REF!</v>
      </c>
    </row>
    <row r="116" spans="2:18">
      <c r="B116" s="68"/>
      <c r="C116" s="68"/>
      <c r="D116" s="68"/>
      <c r="E116" s="68"/>
      <c r="F116" s="68"/>
      <c r="G116" s="68"/>
      <c r="H116" s="68"/>
      <c r="I116" s="68"/>
      <c r="J116" s="68"/>
    </row>
    <row r="117" spans="2:18">
      <c r="B117" s="68" t="s">
        <v>343</v>
      </c>
      <c r="C117" s="68"/>
      <c r="D117" s="75">
        <f>AVERAGE(D115:J115)</f>
        <v>2.7936058573409057</v>
      </c>
      <c r="E117" s="68"/>
      <c r="F117" s="68"/>
      <c r="G117" s="68"/>
      <c r="H117" s="68"/>
      <c r="I117" s="68"/>
      <c r="J117" s="68"/>
    </row>
    <row r="119" spans="2:18" ht="29.45" customHeight="1">
      <c r="B119" s="1118" t="s">
        <v>432</v>
      </c>
      <c r="C119" s="1118"/>
      <c r="D119" s="1118"/>
      <c r="E119" s="1118"/>
      <c r="F119" s="1118"/>
      <c r="G119" s="1118"/>
      <c r="H119" s="1118"/>
      <c r="I119" s="1118"/>
      <c r="J119" s="1118"/>
    </row>
    <row r="121" spans="2:18" ht="21">
      <c r="B121" s="1161" t="s">
        <v>564</v>
      </c>
      <c r="C121" s="1162"/>
      <c r="D121" s="1162"/>
      <c r="E121" s="1162"/>
      <c r="F121" s="1162"/>
      <c r="G121" s="1162"/>
      <c r="H121" s="1162"/>
      <c r="I121" s="1162"/>
      <c r="K121" s="943"/>
      <c r="L121" s="943"/>
      <c r="M121" s="943"/>
      <c r="N121" s="943"/>
      <c r="O121" s="943"/>
      <c r="P121" s="943"/>
      <c r="Q121" s="943"/>
      <c r="R121" s="943"/>
    </row>
    <row r="122" spans="2:18">
      <c r="B122" s="418" t="s">
        <v>354</v>
      </c>
      <c r="C122" s="421"/>
      <c r="D122" s="60" t="s">
        <v>2</v>
      </c>
      <c r="E122" s="60" t="s">
        <v>3</v>
      </c>
      <c r="F122" s="60" t="s">
        <v>4</v>
      </c>
      <c r="G122" s="60" t="s">
        <v>5</v>
      </c>
      <c r="H122" s="60" t="s">
        <v>6</v>
      </c>
      <c r="I122" s="60" t="s">
        <v>170</v>
      </c>
      <c r="J122" s="60" t="s">
        <v>169</v>
      </c>
    </row>
    <row r="123" spans="2:18">
      <c r="B123" s="428">
        <f>'6.Cons Profit &amp; Loss'!A8</f>
        <v>0</v>
      </c>
      <c r="C123" s="430"/>
      <c r="D123" s="241">
        <f>'6.Cons Profit &amp; Loss'!B8*(1+$N$124)</f>
        <v>0</v>
      </c>
      <c r="E123" s="241">
        <f>'6.Cons Profit &amp; Loss'!C8*(1+$N$124)</f>
        <v>0</v>
      </c>
      <c r="F123" s="241">
        <f>'6.Cons Profit &amp; Loss'!D8*(1+$N$124)</f>
        <v>0</v>
      </c>
      <c r="G123" s="241">
        <f>'6.Cons Profit &amp; Loss'!E8*(1+$N$124)</f>
        <v>0</v>
      </c>
      <c r="H123" s="241">
        <f>'6.Cons Profit &amp; Loss'!F8*(1+$N$124)</f>
        <v>0</v>
      </c>
      <c r="I123" s="241">
        <f>'6.Cons Profit &amp; Loss'!G8*(1+$N$124)</f>
        <v>0</v>
      </c>
      <c r="J123" s="241">
        <f>'6.Cons Profit &amp; Loss'!H8*(1+$N$124)</f>
        <v>0</v>
      </c>
    </row>
    <row r="124" spans="2:18">
      <c r="B124" s="428" t="str">
        <f>'6.Cons Profit &amp; Loss'!A9</f>
        <v>Facility 1 - Processing Unit- Dal Mill</v>
      </c>
      <c r="C124" s="430"/>
      <c r="D124" s="241">
        <f>'6.Cons Profit &amp; Loss'!B9*(1+$N$124)</f>
        <v>53811125.450835489</v>
      </c>
      <c r="E124" s="241">
        <f>'6.Cons Profit &amp; Loss'!C9*(1+$N$124)</f>
        <v>64313978.647460856</v>
      </c>
      <c r="F124" s="241">
        <f>'6.Cons Profit &amp; Loss'!D9*(1+$N$124)</f>
        <v>73689377.679721847</v>
      </c>
      <c r="G124" s="241">
        <f>'6.Cons Profit &amp; Loss'!E9*(1+$N$124)</f>
        <v>83841531.668590277</v>
      </c>
      <c r="H124" s="241">
        <f>'6.Cons Profit &amp; Loss'!F9*(1+$N$124)</f>
        <v>94824677.612146214</v>
      </c>
      <c r="I124" s="241">
        <f>'6.Cons Profit &amp; Loss'!G9*(1+$N$124)</f>
        <v>106696534.32088633</v>
      </c>
      <c r="J124" s="241">
        <f>'6.Cons Profit &amp; Loss'!H9*(1+$N$124)</f>
        <v>119518515.00647004</v>
      </c>
      <c r="M124" s="5" t="s">
        <v>374</v>
      </c>
      <c r="N124" s="201">
        <v>0.03</v>
      </c>
    </row>
    <row r="125" spans="2:18">
      <c r="B125" s="428" t="str">
        <f>'6.Cons Profit &amp; Loss'!A10</f>
        <v>Facility 2 - Besan Unit</v>
      </c>
      <c r="C125" s="430"/>
      <c r="D125" s="241">
        <f>'6.Cons Profit &amp; Loss'!B10*(1+$N$124)</f>
        <v>5637970.3721354995</v>
      </c>
      <c r="E125" s="241">
        <f>'6.Cons Profit &amp; Loss'!C10*(1+$N$124)</f>
        <v>6128625.0699645765</v>
      </c>
      <c r="F125" s="241">
        <f>'6.Cons Profit &amp; Loss'!D10*(1+$N$124)</f>
        <v>6991670.407522588</v>
      </c>
      <c r="G125" s="241">
        <f>'6.Cons Profit &amp; Loss'!E10*(1+$N$124)</f>
        <v>7955240.7403727947</v>
      </c>
      <c r="H125" s="241">
        <f>'6.Cons Profit &amp; Loss'!F10*(1+$N$124)</f>
        <v>8997688.930489216</v>
      </c>
      <c r="I125" s="241">
        <f>'6.Cons Profit &amp; Loss'!G10*(1+$N$124)</f>
        <v>10124493.837766342</v>
      </c>
      <c r="J125" s="241">
        <f>'6.Cons Profit &amp; Loss'!H10*(1+$N$124)</f>
        <v>11341485.01344496</v>
      </c>
      <c r="M125" s="5"/>
      <c r="N125" s="201"/>
    </row>
    <row r="126" spans="2:18">
      <c r="B126" s="428" t="str">
        <f>'6.Cons Profit &amp; Loss'!A11</f>
        <v>Facility 3 - Warehouse</v>
      </c>
      <c r="C126" s="430"/>
      <c r="D126" s="241">
        <f>'6.Cons Profit &amp; Loss'!B11*(1+$N$124)</f>
        <v>1186560</v>
      </c>
      <c r="E126" s="241">
        <f>'6.Cons Profit &amp; Loss'!C11*(1+$N$124)</f>
        <v>1323756.0000000002</v>
      </c>
      <c r="F126" s="241">
        <f>'6.Cons Profit &amp; Loss'!D11*(1+$N$124)</f>
        <v>1471705.2000000002</v>
      </c>
      <c r="G126" s="241">
        <f>'6.Cons Profit &amp; Loss'!E11*(1+$N$124)</f>
        <v>1631139.9300000009</v>
      </c>
      <c r="H126" s="241">
        <f>'6.Cons Profit &amp; Loss'!F11*(1+$N$124)</f>
        <v>1802838.870000001</v>
      </c>
      <c r="I126" s="241">
        <f>'6.Cons Profit &amp; Loss'!G11*(1+$N$124)</f>
        <v>1892980.8135000011</v>
      </c>
      <c r="J126" s="241">
        <f>'6.Cons Profit &amp; Loss'!H11*(1+$N$124)</f>
        <v>1987629.8541750014</v>
      </c>
      <c r="M126" s="5" t="s">
        <v>375</v>
      </c>
      <c r="N126" s="201">
        <v>0.05</v>
      </c>
    </row>
    <row r="127" spans="2:18">
      <c r="B127" s="428" t="str">
        <f>'6.Cons Profit &amp; Loss'!A12</f>
        <v xml:space="preserve">Facility 4 - Custom Hiring </v>
      </c>
      <c r="C127" s="430"/>
      <c r="D127" s="241">
        <f>'6.Cons Profit &amp; Loss'!B12*(1+$N$124)</f>
        <v>0</v>
      </c>
      <c r="E127" s="241">
        <f>'6.Cons Profit &amp; Loss'!C12*(1+$N$124)</f>
        <v>0</v>
      </c>
      <c r="F127" s="241">
        <f>'6.Cons Profit &amp; Loss'!D12*(1+$N$124)</f>
        <v>0</v>
      </c>
      <c r="G127" s="241">
        <f>'6.Cons Profit &amp; Loss'!E12*(1+$N$124)</f>
        <v>0</v>
      </c>
      <c r="H127" s="241">
        <f>'6.Cons Profit &amp; Loss'!F12*(1+$N$124)</f>
        <v>0</v>
      </c>
      <c r="I127" s="241">
        <f>'6.Cons Profit &amp; Loss'!G12*(1+$N$124)</f>
        <v>0</v>
      </c>
      <c r="J127" s="241">
        <f>'6.Cons Profit &amp; Loss'!H12*(1+$N$124)</f>
        <v>0</v>
      </c>
    </row>
    <row r="128" spans="2:18">
      <c r="B128" s="428" t="str">
        <f>'6.Cons Profit &amp; Loss'!A13</f>
        <v>Faclitiy 5 - Agri Input Centre</v>
      </c>
      <c r="C128" s="430"/>
      <c r="D128" s="241">
        <f>'6.Cons Profit &amp; Loss'!B13*(1+$N$124)</f>
        <v>0</v>
      </c>
      <c r="E128" s="241">
        <f>'6.Cons Profit &amp; Loss'!C13*(1+$N$124)</f>
        <v>0</v>
      </c>
      <c r="F128" s="241">
        <f>'6.Cons Profit &amp; Loss'!D13*(1+$N$124)</f>
        <v>0</v>
      </c>
      <c r="G128" s="241">
        <f>'6.Cons Profit &amp; Loss'!E13*(1+$N$124)</f>
        <v>0</v>
      </c>
      <c r="H128" s="241">
        <f>'6.Cons Profit &amp; Loss'!F13*(1+$N$124)</f>
        <v>0</v>
      </c>
      <c r="I128" s="241">
        <f>'6.Cons Profit &amp; Loss'!G13*(1+$N$124)</f>
        <v>0</v>
      </c>
      <c r="J128" s="241">
        <f>'6.Cons Profit &amp; Loss'!H13*(1+$N$124)</f>
        <v>0</v>
      </c>
    </row>
    <row r="129" spans="2:10">
      <c r="B129" s="428" t="str">
        <f>'6.Cons Profit &amp; Loss'!A14</f>
        <v>Facility 6 - F &amp; V Processing Unit &amp; Cold Storage</v>
      </c>
      <c r="C129" s="430"/>
      <c r="D129" s="241">
        <f>'6.Cons Profit &amp; Loss'!B14*(1+$N$124)</f>
        <v>0</v>
      </c>
      <c r="E129" s="241">
        <f>'6.Cons Profit &amp; Loss'!C14*(1+$N$124)</f>
        <v>0</v>
      </c>
      <c r="F129" s="241">
        <f>'6.Cons Profit &amp; Loss'!D14*(1+$N$124)</f>
        <v>0</v>
      </c>
      <c r="G129" s="241">
        <f>'6.Cons Profit &amp; Loss'!E14*(1+$N$124)</f>
        <v>0</v>
      </c>
      <c r="H129" s="241">
        <f>'6.Cons Profit &amp; Loss'!F14*(1+$N$124)</f>
        <v>0</v>
      </c>
      <c r="I129" s="241">
        <f>'6.Cons Profit &amp; Loss'!G14*(1+$N$124)</f>
        <v>0</v>
      </c>
      <c r="J129" s="241">
        <f>'6.Cons Profit &amp; Loss'!H14*(1+$N$124)</f>
        <v>0</v>
      </c>
    </row>
    <row r="130" spans="2:10" hidden="1">
      <c r="B130" s="428" t="str">
        <f>'6.Cons Profit &amp; Loss'!A15</f>
        <v>Facility 6 - Cold Storage Unit</v>
      </c>
      <c r="C130" s="430"/>
      <c r="D130" s="241">
        <f>'6.Cons Profit &amp; Loss'!B15*(1+$N$124)</f>
        <v>0</v>
      </c>
      <c r="E130" s="241">
        <f>'6.Cons Profit &amp; Loss'!C15*(1+$N$124)</f>
        <v>0</v>
      </c>
      <c r="F130" s="241">
        <f>'6.Cons Profit &amp; Loss'!D15*(1+$N$124)</f>
        <v>0</v>
      </c>
      <c r="G130" s="241">
        <f>'6.Cons Profit &amp; Loss'!E15*(1+$N$124)</f>
        <v>0</v>
      </c>
      <c r="H130" s="241">
        <f>'6.Cons Profit &amp; Loss'!F15*(1+$N$124)</f>
        <v>0</v>
      </c>
      <c r="I130" s="241">
        <f>'6.Cons Profit &amp; Loss'!G15*(1+$N$124)</f>
        <v>0</v>
      </c>
      <c r="J130" s="241">
        <f>'6.Cons Profit &amp; Loss'!H15*(1+$N$124)</f>
        <v>0</v>
      </c>
    </row>
    <row r="131" spans="2:10">
      <c r="B131" s="428" t="s">
        <v>355</v>
      </c>
      <c r="C131" s="430"/>
      <c r="D131" s="241">
        <f>SUM(D123:D130)</f>
        <v>60635655.822970986</v>
      </c>
      <c r="E131" s="241">
        <f t="shared" ref="E131:J131" si="13">SUM(E123:E130)</f>
        <v>71766359.717425436</v>
      </c>
      <c r="F131" s="241">
        <f t="shared" si="13"/>
        <v>82152753.287244439</v>
      </c>
      <c r="G131" s="241">
        <f t="shared" si="13"/>
        <v>93427912.338963076</v>
      </c>
      <c r="H131" s="241">
        <f t="shared" si="13"/>
        <v>105625205.41263543</v>
      </c>
      <c r="I131" s="241">
        <f t="shared" si="13"/>
        <v>118714008.97215267</v>
      </c>
      <c r="J131" s="241">
        <f t="shared" si="13"/>
        <v>132847629.87409</v>
      </c>
    </row>
    <row r="132" spans="2:10">
      <c r="B132" s="428" t="s">
        <v>356</v>
      </c>
      <c r="C132" s="430"/>
      <c r="D132" s="241"/>
      <c r="E132" s="241"/>
      <c r="F132" s="241"/>
      <c r="G132" s="241"/>
      <c r="H132" s="241"/>
      <c r="I132" s="241"/>
      <c r="J132" s="241"/>
    </row>
    <row r="133" spans="2:10">
      <c r="B133" s="428" t="s">
        <v>357</v>
      </c>
      <c r="C133" s="430"/>
      <c r="D133" s="241">
        <f>'6.Cons Profit &amp; Loss'!B41</f>
        <v>2368000</v>
      </c>
      <c r="E133" s="241">
        <f>'6.Cons Profit &amp; Loss'!C41</f>
        <v>2486400</v>
      </c>
      <c r="F133" s="241">
        <f>'6.Cons Profit &amp; Loss'!D41</f>
        <v>2610720</v>
      </c>
      <c r="G133" s="241">
        <f>'6.Cons Profit &amp; Loss'!E41</f>
        <v>2795835</v>
      </c>
      <c r="H133" s="241">
        <f>'6.Cons Profit &amp; Loss'!F41</f>
        <v>2935626.75</v>
      </c>
      <c r="I133" s="241">
        <f>'6.Cons Profit &amp; Loss'!G41</f>
        <v>3082408.0875000004</v>
      </c>
      <c r="J133" s="241">
        <f>'6.Cons Profit &amp; Loss'!H41</f>
        <v>3236528.4918750008</v>
      </c>
    </row>
    <row r="134" spans="2:10">
      <c r="B134" s="428" t="s">
        <v>314</v>
      </c>
      <c r="C134" s="430"/>
      <c r="D134" s="241">
        <f>'6.Cons Profit &amp; Loss'!B29*(1+N124)</f>
        <v>49708251.890440777</v>
      </c>
      <c r="E134" s="241">
        <f>'6.Cons Profit &amp; Loss'!C29*(1+O124)</f>
        <v>57791443.233587064</v>
      </c>
      <c r="F134" s="241">
        <f>'6.Cons Profit &amp; Loss'!D29*(1+P124)</f>
        <v>66142537.061088637</v>
      </c>
      <c r="G134" s="241">
        <f>'6.Cons Profit &amp; Loss'!E29*(1+Q124)</f>
        <v>75202916.533429265</v>
      </c>
      <c r="H134" s="241">
        <f>'6.Cons Profit &amp; Loss'!F29*(1+R124)</f>
        <v>85003977.61035125</v>
      </c>
      <c r="I134" s="241">
        <f>'6.Cons Profit &amp; Loss'!G29*(1+S124)</f>
        <v>95597137.503631845</v>
      </c>
      <c r="J134" s="241">
        <f>'6.Cons Profit &amp; Loss'!H29*(1+T124)</f>
        <v>107037103.44221462</v>
      </c>
    </row>
    <row r="135" spans="2:10">
      <c r="B135" s="428" t="s">
        <v>358</v>
      </c>
      <c r="C135" s="430"/>
      <c r="D135" s="241">
        <f t="shared" ref="D135:J135" si="14">SUM(D133:D134)</f>
        <v>52076251.890440777</v>
      </c>
      <c r="E135" s="241">
        <f t="shared" si="14"/>
        <v>60277843.233587064</v>
      </c>
      <c r="F135" s="241">
        <f t="shared" si="14"/>
        <v>68753257.061088637</v>
      </c>
      <c r="G135" s="241">
        <f t="shared" si="14"/>
        <v>77998751.533429265</v>
      </c>
      <c r="H135" s="241">
        <f t="shared" si="14"/>
        <v>87939604.36035125</v>
      </c>
      <c r="I135" s="241">
        <f t="shared" si="14"/>
        <v>98679545.591131851</v>
      </c>
      <c r="J135" s="241">
        <f t="shared" si="14"/>
        <v>110273631.93408963</v>
      </c>
    </row>
    <row r="136" spans="2:10">
      <c r="B136" s="429" t="s">
        <v>359</v>
      </c>
      <c r="C136" s="431"/>
      <c r="D136" s="243">
        <f t="shared" ref="D136:J136" si="15">+D131-D135</f>
        <v>8559403.9325302094</v>
      </c>
      <c r="E136" s="243">
        <f t="shared" si="15"/>
        <v>11488516.483838372</v>
      </c>
      <c r="F136" s="243">
        <f t="shared" si="15"/>
        <v>13399496.226155803</v>
      </c>
      <c r="G136" s="243">
        <f t="shared" si="15"/>
        <v>15429160.805533811</v>
      </c>
      <c r="H136" s="243">
        <f t="shared" si="15"/>
        <v>17685601.052284181</v>
      </c>
      <c r="I136" s="243">
        <f t="shared" si="15"/>
        <v>20034463.381020814</v>
      </c>
      <c r="J136" s="243">
        <f t="shared" si="15"/>
        <v>22573997.94000037</v>
      </c>
    </row>
    <row r="137" spans="2:10">
      <c r="B137" s="8"/>
      <c r="C137" s="8"/>
      <c r="D137" s="58"/>
      <c r="E137" s="58"/>
      <c r="F137" s="58"/>
      <c r="G137" s="58"/>
      <c r="H137" s="58"/>
      <c r="I137" s="58"/>
      <c r="J137" s="58"/>
    </row>
    <row r="138" spans="2:10">
      <c r="B138" s="418" t="s">
        <v>360</v>
      </c>
      <c r="C138" s="421"/>
      <c r="D138" s="60" t="s">
        <v>2</v>
      </c>
      <c r="E138" s="60" t="s">
        <v>3</v>
      </c>
      <c r="F138" s="60" t="s">
        <v>4</v>
      </c>
      <c r="G138" s="60" t="s">
        <v>5</v>
      </c>
      <c r="H138" s="60" t="s">
        <v>6</v>
      </c>
      <c r="I138" s="60" t="s">
        <v>170</v>
      </c>
      <c r="J138" s="60" t="s">
        <v>169</v>
      </c>
    </row>
    <row r="139" spans="2:10">
      <c r="B139" s="428">
        <f t="shared" ref="B139:B146" si="16">B123</f>
        <v>0</v>
      </c>
      <c r="C139" s="430"/>
      <c r="D139" s="57">
        <f>'6.Cons Profit &amp; Loss'!B8</f>
        <v>0</v>
      </c>
      <c r="E139" s="57">
        <f>'6.Cons Profit &amp; Loss'!C8</f>
        <v>0</v>
      </c>
      <c r="F139" s="57">
        <f>'6.Cons Profit &amp; Loss'!D8</f>
        <v>0</v>
      </c>
      <c r="G139" s="57">
        <f>'6.Cons Profit &amp; Loss'!E8</f>
        <v>0</v>
      </c>
      <c r="H139" s="57">
        <f>'6.Cons Profit &amp; Loss'!F8</f>
        <v>0</v>
      </c>
      <c r="I139" s="57">
        <f>'6.Cons Profit &amp; Loss'!G8</f>
        <v>0</v>
      </c>
      <c r="J139" s="57">
        <f>'6.Cons Profit &amp; Loss'!H8</f>
        <v>0</v>
      </c>
    </row>
    <row r="140" spans="2:10">
      <c r="B140" s="428" t="str">
        <f t="shared" si="16"/>
        <v>Facility 1 - Processing Unit- Dal Mill</v>
      </c>
      <c r="C140" s="430"/>
      <c r="D140" s="57">
        <f>'6.Cons Profit &amp; Loss'!B9</f>
        <v>52243811.117316008</v>
      </c>
      <c r="E140" s="57">
        <f>'6.Cons Profit &amp; Loss'!C9</f>
        <v>62440755.968408599</v>
      </c>
      <c r="F140" s="57">
        <f>'6.Cons Profit &amp; Loss'!D9</f>
        <v>71543085.125943542</v>
      </c>
      <c r="G140" s="57">
        <f>'6.Cons Profit &amp; Loss'!E9</f>
        <v>81399545.309310943</v>
      </c>
      <c r="H140" s="57">
        <f>'6.Cons Profit &amp; Loss'!F9</f>
        <v>92062793.798200205</v>
      </c>
      <c r="I140" s="57">
        <f>'6.Cons Profit &amp; Loss'!G9</f>
        <v>103588868.27270517</v>
      </c>
      <c r="J140" s="57">
        <f>'6.Cons Profit &amp; Loss'!H9</f>
        <v>116037393.21016508</v>
      </c>
    </row>
    <row r="141" spans="2:10">
      <c r="B141" s="428" t="str">
        <f t="shared" si="16"/>
        <v>Facility 2 - Besan Unit</v>
      </c>
      <c r="C141" s="430"/>
      <c r="D141" s="57">
        <f>'6.Cons Profit &amp; Loss'!B10</f>
        <v>5473757.6428499995</v>
      </c>
      <c r="E141" s="57">
        <f>'6.Cons Profit &amp; Loss'!C10</f>
        <v>5950121.4271500744</v>
      </c>
      <c r="F141" s="57">
        <f>'6.Cons Profit &amp; Loss'!D10</f>
        <v>6788029.5218665898</v>
      </c>
      <c r="G141" s="57">
        <f>'6.Cons Profit &amp; Loss'!E10</f>
        <v>7723534.6993910624</v>
      </c>
      <c r="H141" s="57">
        <f>'6.Cons Profit &amp; Loss'!F10</f>
        <v>8735620.3208633158</v>
      </c>
      <c r="I141" s="57">
        <f>'6.Cons Profit &amp; Loss'!G10</f>
        <v>9829605.6677343119</v>
      </c>
      <c r="J141" s="57">
        <f>'6.Cons Profit &amp; Loss'!H10</f>
        <v>11011150.498490252</v>
      </c>
    </row>
    <row r="142" spans="2:10">
      <c r="B142" s="428" t="str">
        <f t="shared" si="16"/>
        <v>Facility 3 - Warehouse</v>
      </c>
      <c r="C142" s="430"/>
      <c r="D142" s="57">
        <f>'6.Cons Profit &amp; Loss'!B11</f>
        <v>1152000</v>
      </c>
      <c r="E142" s="57">
        <f>'6.Cons Profit &amp; Loss'!C11</f>
        <v>1285200.0000000002</v>
      </c>
      <c r="F142" s="57">
        <f>'6.Cons Profit &amp; Loss'!D11</f>
        <v>1428840.0000000002</v>
      </c>
      <c r="G142" s="57">
        <f>'6.Cons Profit &amp; Loss'!E11</f>
        <v>1583631.0000000007</v>
      </c>
      <c r="H142" s="57">
        <f>'6.Cons Profit &amp; Loss'!F11</f>
        <v>1750329.0000000009</v>
      </c>
      <c r="I142" s="57">
        <f>'6.Cons Profit &amp; Loss'!G11</f>
        <v>1837845.4500000011</v>
      </c>
      <c r="J142" s="57">
        <f>'6.Cons Profit &amp; Loss'!H11</f>
        <v>1929737.7225000013</v>
      </c>
    </row>
    <row r="143" spans="2:10">
      <c r="B143" s="428" t="str">
        <f t="shared" si="16"/>
        <v xml:space="preserve">Facility 4 - Custom Hiring </v>
      </c>
      <c r="C143" s="430"/>
      <c r="D143" s="57">
        <f>'6.Cons Profit &amp; Loss'!B12</f>
        <v>0</v>
      </c>
      <c r="E143" s="57">
        <f>'6.Cons Profit &amp; Loss'!C12</f>
        <v>0</v>
      </c>
      <c r="F143" s="57">
        <f>'6.Cons Profit &amp; Loss'!D12</f>
        <v>0</v>
      </c>
      <c r="G143" s="57">
        <f>'6.Cons Profit &amp; Loss'!E12</f>
        <v>0</v>
      </c>
      <c r="H143" s="57">
        <f>'6.Cons Profit &amp; Loss'!F12</f>
        <v>0</v>
      </c>
      <c r="I143" s="57">
        <f>'6.Cons Profit &amp; Loss'!G12</f>
        <v>0</v>
      </c>
      <c r="J143" s="57">
        <f>'6.Cons Profit &amp; Loss'!H12</f>
        <v>0</v>
      </c>
    </row>
    <row r="144" spans="2:10">
      <c r="B144" s="428" t="str">
        <f t="shared" si="16"/>
        <v>Faclitiy 5 - Agri Input Centre</v>
      </c>
      <c r="C144" s="430"/>
      <c r="D144" s="57">
        <f>'6.Cons Profit &amp; Loss'!B13</f>
        <v>0</v>
      </c>
      <c r="E144" s="57">
        <f>'6.Cons Profit &amp; Loss'!C13</f>
        <v>0</v>
      </c>
      <c r="F144" s="57">
        <f>'6.Cons Profit &amp; Loss'!D13</f>
        <v>0</v>
      </c>
      <c r="G144" s="57">
        <f>'6.Cons Profit &amp; Loss'!E13</f>
        <v>0</v>
      </c>
      <c r="H144" s="57">
        <f>'6.Cons Profit &amp; Loss'!F13</f>
        <v>0</v>
      </c>
      <c r="I144" s="57">
        <f>'6.Cons Profit &amp; Loss'!G13</f>
        <v>0</v>
      </c>
      <c r="J144" s="57">
        <f>'6.Cons Profit &amp; Loss'!H13</f>
        <v>0</v>
      </c>
    </row>
    <row r="145" spans="2:16">
      <c r="B145" s="428" t="str">
        <f t="shared" si="16"/>
        <v>Facility 6 - F &amp; V Processing Unit &amp; Cold Storage</v>
      </c>
      <c r="C145" s="430"/>
      <c r="D145" s="57">
        <f>'6.Cons Profit &amp; Loss'!B14</f>
        <v>0</v>
      </c>
      <c r="E145" s="57">
        <f>'6.Cons Profit &amp; Loss'!C14</f>
        <v>0</v>
      </c>
      <c r="F145" s="57">
        <f>'6.Cons Profit &amp; Loss'!D14</f>
        <v>0</v>
      </c>
      <c r="G145" s="57">
        <f>'6.Cons Profit &amp; Loss'!E14</f>
        <v>0</v>
      </c>
      <c r="H145" s="57">
        <f>'6.Cons Profit &amp; Loss'!F14</f>
        <v>0</v>
      </c>
      <c r="I145" s="57">
        <f>'6.Cons Profit &amp; Loss'!G14</f>
        <v>0</v>
      </c>
      <c r="J145" s="57">
        <f>'6.Cons Profit &amp; Loss'!H14</f>
        <v>0</v>
      </c>
    </row>
    <row r="146" spans="2:16" hidden="1">
      <c r="B146" s="428" t="str">
        <f t="shared" si="16"/>
        <v>Facility 6 - Cold Storage Unit</v>
      </c>
      <c r="C146" s="430"/>
      <c r="D146" s="57">
        <f>'6.Cons Profit &amp; Loss'!B15</f>
        <v>0</v>
      </c>
      <c r="E146" s="57">
        <f>'6.Cons Profit &amp; Loss'!C15</f>
        <v>0</v>
      </c>
      <c r="F146" s="57">
        <f>'6.Cons Profit &amp; Loss'!D15</f>
        <v>0</v>
      </c>
      <c r="G146" s="57">
        <f>'6.Cons Profit &amp; Loss'!E15</f>
        <v>0</v>
      </c>
      <c r="H146" s="57">
        <f>'6.Cons Profit &amp; Loss'!F15</f>
        <v>0</v>
      </c>
      <c r="I146" s="57">
        <f>'6.Cons Profit &amp; Loss'!G15</f>
        <v>0</v>
      </c>
      <c r="J146" s="57">
        <f>'6.Cons Profit &amp; Loss'!H15</f>
        <v>0</v>
      </c>
    </row>
    <row r="147" spans="2:16">
      <c r="B147" s="428" t="s">
        <v>355</v>
      </c>
      <c r="C147" s="430"/>
      <c r="D147" s="57">
        <f>SUM(D139:D146)</f>
        <v>58869568.760166004</v>
      </c>
      <c r="E147" s="57">
        <f t="shared" ref="E147:J147" si="17">SUM(E139:E146)</f>
        <v>69676077.39555867</v>
      </c>
      <c r="F147" s="57">
        <f t="shared" si="17"/>
        <v>79759954.647810131</v>
      </c>
      <c r="G147" s="57">
        <f t="shared" si="17"/>
        <v>90706711.00870201</v>
      </c>
      <c r="H147" s="57">
        <f t="shared" si="17"/>
        <v>102548743.11906353</v>
      </c>
      <c r="I147" s="57">
        <f t="shared" si="17"/>
        <v>115256319.39043948</v>
      </c>
      <c r="J147" s="57">
        <f t="shared" si="17"/>
        <v>128978281.43115532</v>
      </c>
    </row>
    <row r="148" spans="2:16">
      <c r="B148" s="428" t="s">
        <v>356</v>
      </c>
      <c r="C148" s="430"/>
      <c r="D148" s="57"/>
      <c r="E148" s="57"/>
      <c r="F148" s="57"/>
      <c r="G148" s="57"/>
      <c r="H148" s="57"/>
      <c r="I148" s="57"/>
      <c r="J148" s="57"/>
    </row>
    <row r="149" spans="2:16">
      <c r="B149" s="428" t="s">
        <v>357</v>
      </c>
      <c r="C149" s="430"/>
      <c r="D149" s="57">
        <f>'6.Cons Profit &amp; Loss'!B41</f>
        <v>2368000</v>
      </c>
      <c r="E149" s="57">
        <f>'6.Cons Profit &amp; Loss'!C41</f>
        <v>2486400</v>
      </c>
      <c r="F149" s="57">
        <f>'6.Cons Profit &amp; Loss'!D41</f>
        <v>2610720</v>
      </c>
      <c r="G149" s="57">
        <f>'6.Cons Profit &amp; Loss'!E41</f>
        <v>2795835</v>
      </c>
      <c r="H149" s="57">
        <f>'6.Cons Profit &amp; Loss'!F41</f>
        <v>2935626.75</v>
      </c>
      <c r="I149" s="57">
        <f>'6.Cons Profit &amp; Loss'!G41</f>
        <v>3082408.0875000004</v>
      </c>
      <c r="J149" s="57">
        <f>'6.Cons Profit &amp; Loss'!H41</f>
        <v>3236528.4918750008</v>
      </c>
    </row>
    <row r="150" spans="2:16">
      <c r="B150" s="428" t="s">
        <v>314</v>
      </c>
      <c r="C150" s="430"/>
      <c r="D150" s="57">
        <f>'6.Cons Profit &amp; Loss'!B29*(1+$N$126)</f>
        <v>50673460.665012442</v>
      </c>
      <c r="E150" s="57">
        <f>'6.Cons Profit &amp; Loss'!C29*(1+$N$126)</f>
        <v>60681015.395266421</v>
      </c>
      <c r="F150" s="57">
        <f>'6.Cons Profit &amp; Loss'!D29*(1+$N$126)</f>
        <v>69449663.914143071</v>
      </c>
      <c r="G150" s="57">
        <f>'6.Cons Profit &amp; Loss'!E29*(1+$N$126)</f>
        <v>78963062.360100731</v>
      </c>
      <c r="H150" s="57">
        <f>'6.Cons Profit &amp; Loss'!F29*(1+$N$126)</f>
        <v>89254176.490868822</v>
      </c>
      <c r="I150" s="57">
        <f>'6.Cons Profit &amp; Loss'!G29*(1+$N$126)</f>
        <v>100376994.37881345</v>
      </c>
      <c r="J150" s="57">
        <f>'6.Cons Profit &amp; Loss'!H29*(1+$N$126)</f>
        <v>112388958.61432536</v>
      </c>
    </row>
    <row r="151" spans="2:16">
      <c r="B151" s="428" t="s">
        <v>358</v>
      </c>
      <c r="C151" s="430"/>
      <c r="D151" s="57">
        <f t="shared" ref="D151:J151" si="18">SUM(D149:D150)</f>
        <v>53041460.665012442</v>
      </c>
      <c r="E151" s="57">
        <f t="shared" si="18"/>
        <v>63167415.395266421</v>
      </c>
      <c r="F151" s="57">
        <f t="shared" si="18"/>
        <v>72060383.914143071</v>
      </c>
      <c r="G151" s="57">
        <f t="shared" si="18"/>
        <v>81758897.360100731</v>
      </c>
      <c r="H151" s="57">
        <f t="shared" si="18"/>
        <v>92189803.240868822</v>
      </c>
      <c r="I151" s="57">
        <f t="shared" si="18"/>
        <v>103459402.46631345</v>
      </c>
      <c r="J151" s="57">
        <f t="shared" si="18"/>
        <v>115625487.10620037</v>
      </c>
    </row>
    <row r="152" spans="2:16">
      <c r="B152" s="429" t="s">
        <v>359</v>
      </c>
      <c r="C152" s="431"/>
      <c r="D152" s="242">
        <f t="shared" ref="D152:J152" si="19">+D147-D151</f>
        <v>5828108.0951535627</v>
      </c>
      <c r="E152" s="242">
        <f t="shared" si="19"/>
        <v>6508662.000292249</v>
      </c>
      <c r="F152" s="242">
        <f t="shared" si="19"/>
        <v>7699570.7336670607</v>
      </c>
      <c r="G152" s="242">
        <f t="shared" si="19"/>
        <v>8947813.6486012787</v>
      </c>
      <c r="H152" s="242">
        <f t="shared" si="19"/>
        <v>10358939.878194705</v>
      </c>
      <c r="I152" s="242">
        <f t="shared" si="19"/>
        <v>11796916.924126029</v>
      </c>
      <c r="J152" s="242">
        <f t="shared" si="19"/>
        <v>13352794.324954957</v>
      </c>
      <c r="O152" s="4"/>
      <c r="P152" s="6"/>
    </row>
    <row r="153" spans="2:16">
      <c r="B153" s="8"/>
      <c r="C153" s="8"/>
      <c r="D153" s="58"/>
      <c r="E153" s="58"/>
      <c r="F153" s="58"/>
      <c r="G153" s="58"/>
      <c r="H153" s="58"/>
      <c r="I153" s="58"/>
      <c r="J153" s="58"/>
    </row>
    <row r="154" spans="2:16">
      <c r="B154" s="418" t="s">
        <v>361</v>
      </c>
      <c r="C154" s="421"/>
      <c r="D154" s="60" t="s">
        <v>2</v>
      </c>
      <c r="E154" s="60" t="s">
        <v>3</v>
      </c>
      <c r="F154" s="60" t="s">
        <v>4</v>
      </c>
      <c r="G154" s="60" t="s">
        <v>5</v>
      </c>
      <c r="H154" s="60" t="s">
        <v>6</v>
      </c>
      <c r="I154" s="60" t="s">
        <v>170</v>
      </c>
      <c r="J154" s="60" t="s">
        <v>169</v>
      </c>
    </row>
    <row r="155" spans="2:16">
      <c r="B155" s="428">
        <f t="shared" ref="B155:B162" si="20">B139</f>
        <v>0</v>
      </c>
      <c r="C155" s="430"/>
      <c r="D155" s="241">
        <f>'6.Cons Profit &amp; Loss'!B8*(1-$N$124)</f>
        <v>0</v>
      </c>
      <c r="E155" s="241">
        <f>'6.Cons Profit &amp; Loss'!C8*(1-$N$124)</f>
        <v>0</v>
      </c>
      <c r="F155" s="241">
        <f>'6.Cons Profit &amp; Loss'!D8*(1-$N$124)</f>
        <v>0</v>
      </c>
      <c r="G155" s="241">
        <f>'6.Cons Profit &amp; Loss'!E8*(1-$N$124)</f>
        <v>0</v>
      </c>
      <c r="H155" s="241">
        <f>'6.Cons Profit &amp; Loss'!F8*(1-$N$124)</f>
        <v>0</v>
      </c>
      <c r="I155" s="241">
        <f>'6.Cons Profit &amp; Loss'!G8*(1-$N$124)</f>
        <v>0</v>
      </c>
      <c r="J155" s="241">
        <f>'6.Cons Profit &amp; Loss'!H8*(1-$N$124)</f>
        <v>0</v>
      </c>
    </row>
    <row r="156" spans="2:16">
      <c r="B156" s="428" t="str">
        <f t="shared" si="20"/>
        <v>Facility 1 - Processing Unit- Dal Mill</v>
      </c>
      <c r="C156" s="430"/>
      <c r="D156" s="241">
        <f>'6.Cons Profit &amp; Loss'!B9*(1-$N$124)</f>
        <v>50676496.783796526</v>
      </c>
      <c r="E156" s="241">
        <f>'6.Cons Profit &amp; Loss'!C9*(1-$N$124)</f>
        <v>60567533.289356343</v>
      </c>
      <c r="F156" s="241">
        <f>'6.Cons Profit &amp; Loss'!D9*(1-$N$124)</f>
        <v>69396792.572165236</v>
      </c>
      <c r="G156" s="241">
        <f>'6.Cons Profit &amp; Loss'!E9*(1-$N$124)</f>
        <v>78957558.950031608</v>
      </c>
      <c r="H156" s="241">
        <f>'6.Cons Profit &amp; Loss'!F9*(1-$N$124)</f>
        <v>89300909.984254196</v>
      </c>
      <c r="I156" s="241">
        <f>'6.Cons Profit &amp; Loss'!G9*(1-$N$124)</f>
        <v>100481202.22452401</v>
      </c>
      <c r="J156" s="241">
        <f>'6.Cons Profit &amp; Loss'!H9*(1-$N$124)</f>
        <v>112556271.41386013</v>
      </c>
    </row>
    <row r="157" spans="2:16">
      <c r="B157" s="428" t="str">
        <f t="shared" si="20"/>
        <v>Facility 2 - Besan Unit</v>
      </c>
      <c r="C157" s="430"/>
      <c r="D157" s="241">
        <f>'6.Cons Profit &amp; Loss'!B10*(1-$N$124)</f>
        <v>5309544.9135644995</v>
      </c>
      <c r="E157" s="241">
        <f>'6.Cons Profit &amp; Loss'!C10*(1-$N$124)</f>
        <v>5771617.7843355723</v>
      </c>
      <c r="F157" s="241">
        <f>'6.Cons Profit &amp; Loss'!D10*(1-$N$124)</f>
        <v>6584388.6362105915</v>
      </c>
      <c r="G157" s="241">
        <f>'6.Cons Profit &amp; Loss'!E10*(1-$N$124)</f>
        <v>7491828.6584093301</v>
      </c>
      <c r="H157" s="241">
        <f>'6.Cons Profit &amp; Loss'!F10*(1-$N$124)</f>
        <v>8473551.7112374157</v>
      </c>
      <c r="I157" s="241">
        <f>'6.Cons Profit &amp; Loss'!G10*(1-$N$124)</f>
        <v>9534717.4977022819</v>
      </c>
      <c r="J157" s="241">
        <f>'6.Cons Profit &amp; Loss'!H10*(1-$N$124)</f>
        <v>10680815.983535543</v>
      </c>
    </row>
    <row r="158" spans="2:16">
      <c r="B158" s="428" t="str">
        <f t="shared" si="20"/>
        <v>Facility 3 - Warehouse</v>
      </c>
      <c r="C158" s="430"/>
      <c r="D158" s="241">
        <f>'6.Cons Profit &amp; Loss'!B11*(1-$N$124)</f>
        <v>1117440</v>
      </c>
      <c r="E158" s="241">
        <f>'6.Cons Profit &amp; Loss'!C11*(1-$N$124)</f>
        <v>1246644.0000000002</v>
      </c>
      <c r="F158" s="241">
        <f>'6.Cons Profit &amp; Loss'!D11*(1-$N$124)</f>
        <v>1385974.8000000003</v>
      </c>
      <c r="G158" s="241">
        <f>'6.Cons Profit &amp; Loss'!E11*(1-$N$124)</f>
        <v>1536122.0700000005</v>
      </c>
      <c r="H158" s="241">
        <f>'6.Cons Profit &amp; Loss'!F11*(1-$N$124)</f>
        <v>1697819.1300000008</v>
      </c>
      <c r="I158" s="241">
        <f>'6.Cons Profit &amp; Loss'!G11*(1-$N$124)</f>
        <v>1782710.0865000011</v>
      </c>
      <c r="J158" s="241">
        <f>'6.Cons Profit &amp; Loss'!H11*(1-$N$124)</f>
        <v>1871845.5908250012</v>
      </c>
    </row>
    <row r="159" spans="2:16">
      <c r="B159" s="428" t="str">
        <f t="shared" si="20"/>
        <v xml:space="preserve">Facility 4 - Custom Hiring </v>
      </c>
      <c r="C159" s="430"/>
      <c r="D159" s="241">
        <f>'6.Cons Profit &amp; Loss'!B12*(1-$N$124)</f>
        <v>0</v>
      </c>
      <c r="E159" s="241">
        <f>'6.Cons Profit &amp; Loss'!C12*(1-$N$124)</f>
        <v>0</v>
      </c>
      <c r="F159" s="241">
        <f>'6.Cons Profit &amp; Loss'!D12*(1-$N$124)</f>
        <v>0</v>
      </c>
      <c r="G159" s="241">
        <f>'6.Cons Profit &amp; Loss'!E12*(1-$N$124)</f>
        <v>0</v>
      </c>
      <c r="H159" s="241">
        <f>'6.Cons Profit &amp; Loss'!F12*(1-$N$124)</f>
        <v>0</v>
      </c>
      <c r="I159" s="241">
        <f>'6.Cons Profit &amp; Loss'!G12*(1-$N$124)</f>
        <v>0</v>
      </c>
      <c r="J159" s="241">
        <f>'6.Cons Profit &amp; Loss'!H12*(1-$N$124)</f>
        <v>0</v>
      </c>
    </row>
    <row r="160" spans="2:16">
      <c r="B160" s="428" t="str">
        <f t="shared" si="20"/>
        <v>Faclitiy 5 - Agri Input Centre</v>
      </c>
      <c r="C160" s="430"/>
      <c r="D160" s="241">
        <f>'6.Cons Profit &amp; Loss'!B13*(1-$N$124)</f>
        <v>0</v>
      </c>
      <c r="E160" s="241">
        <f>'6.Cons Profit &amp; Loss'!C13*(1-$N$124)</f>
        <v>0</v>
      </c>
      <c r="F160" s="241">
        <f>'6.Cons Profit &amp; Loss'!D13*(1-$N$124)</f>
        <v>0</v>
      </c>
      <c r="G160" s="241">
        <f>'6.Cons Profit &amp; Loss'!E13*(1-$N$124)</f>
        <v>0</v>
      </c>
      <c r="H160" s="241">
        <f>'6.Cons Profit &amp; Loss'!F13*(1-$N$124)</f>
        <v>0</v>
      </c>
      <c r="I160" s="241">
        <f>'6.Cons Profit &amp; Loss'!G13*(1-$N$124)</f>
        <v>0</v>
      </c>
      <c r="J160" s="241">
        <f>'6.Cons Profit &amp; Loss'!H13*(1-$N$124)</f>
        <v>0</v>
      </c>
    </row>
    <row r="161" spans="2:10">
      <c r="B161" s="428" t="str">
        <f t="shared" si="20"/>
        <v>Facility 6 - F &amp; V Processing Unit &amp; Cold Storage</v>
      </c>
      <c r="C161" s="430"/>
      <c r="D161" s="241">
        <f>'6.Cons Profit &amp; Loss'!B14*(1-$N$124)</f>
        <v>0</v>
      </c>
      <c r="E161" s="241">
        <f>'6.Cons Profit &amp; Loss'!C14*(1-$N$124)</f>
        <v>0</v>
      </c>
      <c r="F161" s="241">
        <f>'6.Cons Profit &amp; Loss'!D14*(1-$N$124)</f>
        <v>0</v>
      </c>
      <c r="G161" s="241">
        <f>'6.Cons Profit &amp; Loss'!E14*(1-$N$124)</f>
        <v>0</v>
      </c>
      <c r="H161" s="241">
        <f>'6.Cons Profit &amp; Loss'!F14*(1-$N$124)</f>
        <v>0</v>
      </c>
      <c r="I161" s="241">
        <f>'6.Cons Profit &amp; Loss'!G14*(1-$N$124)</f>
        <v>0</v>
      </c>
      <c r="J161" s="241">
        <f>'6.Cons Profit &amp; Loss'!H14*(1-$N$124)</f>
        <v>0</v>
      </c>
    </row>
    <row r="162" spans="2:10" hidden="1">
      <c r="B162" s="428" t="str">
        <f t="shared" si="20"/>
        <v>Facility 6 - Cold Storage Unit</v>
      </c>
      <c r="C162" s="430"/>
      <c r="D162" s="241">
        <f>'6.Cons Profit &amp; Loss'!B15*(1-$N$124)</f>
        <v>0</v>
      </c>
      <c r="E162" s="241">
        <f>'6.Cons Profit &amp; Loss'!C15*(1-$N$124)</f>
        <v>0</v>
      </c>
      <c r="F162" s="241">
        <f>'6.Cons Profit &amp; Loss'!D15*(1-$N$124)</f>
        <v>0</v>
      </c>
      <c r="G162" s="241">
        <f>'6.Cons Profit &amp; Loss'!E15*(1-$N$124)</f>
        <v>0</v>
      </c>
      <c r="H162" s="241">
        <f>'6.Cons Profit &amp; Loss'!F15*(1-$N$124)</f>
        <v>0</v>
      </c>
      <c r="I162" s="241">
        <f>'6.Cons Profit &amp; Loss'!G15*(1-$N$124)</f>
        <v>0</v>
      </c>
      <c r="J162" s="241">
        <f>'6.Cons Profit &amp; Loss'!H15*(1-$N$124)</f>
        <v>0</v>
      </c>
    </row>
    <row r="163" spans="2:10">
      <c r="B163" s="428" t="s">
        <v>355</v>
      </c>
      <c r="C163" s="430"/>
      <c r="D163" s="241">
        <f>SUM(D155:D162)</f>
        <v>57103481.697361022</v>
      </c>
      <c r="E163" s="241">
        <f t="shared" ref="E163:J163" si="21">SUM(E155:E162)</f>
        <v>67585795.073691919</v>
      </c>
      <c r="F163" s="241">
        <f t="shared" si="21"/>
        <v>77367156.008375823</v>
      </c>
      <c r="G163" s="241">
        <f t="shared" si="21"/>
        <v>87985509.678440943</v>
      </c>
      <c r="H163" s="241">
        <f t="shared" si="21"/>
        <v>99472280.825491607</v>
      </c>
      <c r="I163" s="241">
        <f t="shared" si="21"/>
        <v>111798629.8087263</v>
      </c>
      <c r="J163" s="241">
        <f t="shared" si="21"/>
        <v>125108932.98822068</v>
      </c>
    </row>
    <row r="164" spans="2:10">
      <c r="B164" s="428" t="s">
        <v>356</v>
      </c>
      <c r="C164" s="430"/>
      <c r="D164" s="241"/>
      <c r="E164" s="241"/>
      <c r="F164" s="241"/>
      <c r="G164" s="241"/>
      <c r="H164" s="241"/>
      <c r="I164" s="241"/>
      <c r="J164" s="241"/>
    </row>
    <row r="165" spans="2:10">
      <c r="B165" s="428" t="s">
        <v>357</v>
      </c>
      <c r="C165" s="430"/>
      <c r="D165" s="241">
        <f>'6.Cons Profit &amp; Loss'!B41</f>
        <v>2368000</v>
      </c>
      <c r="E165" s="241">
        <f>'6.Cons Profit &amp; Loss'!C41</f>
        <v>2486400</v>
      </c>
      <c r="F165" s="241">
        <f>'6.Cons Profit &amp; Loss'!D41</f>
        <v>2610720</v>
      </c>
      <c r="G165" s="241">
        <f>'6.Cons Profit &amp; Loss'!E41</f>
        <v>2795835</v>
      </c>
      <c r="H165" s="241">
        <f>'6.Cons Profit &amp; Loss'!F41</f>
        <v>2935626.75</v>
      </c>
      <c r="I165" s="241">
        <f>'6.Cons Profit &amp; Loss'!G41</f>
        <v>3082408.0875000004</v>
      </c>
      <c r="J165" s="241">
        <f>'6.Cons Profit &amp; Loss'!H41</f>
        <v>3236528.4918750008</v>
      </c>
    </row>
    <row r="166" spans="2:10">
      <c r="B166" s="428" t="s">
        <v>314</v>
      </c>
      <c r="C166" s="430"/>
      <c r="D166" s="241">
        <f>'6.Cons Profit &amp; Loss'!B29*(1-$N$124)</f>
        <v>46812625.566725776</v>
      </c>
      <c r="E166" s="241">
        <f>'6.Cons Profit &amp; Loss'!C29*(1-$N$124)</f>
        <v>56057699.936579451</v>
      </c>
      <c r="F166" s="241">
        <f>'6.Cons Profit &amp; Loss'!D29*(1-$N$124)</f>
        <v>64158260.949255973</v>
      </c>
      <c r="G166" s="241">
        <f>'6.Cons Profit &amp; Loss'!E29*(1-$N$124)</f>
        <v>72946829.037426382</v>
      </c>
      <c r="H166" s="241">
        <f>'6.Cons Profit &amp; Loss'!F29*(1-$N$124)</f>
        <v>82453858.282040715</v>
      </c>
      <c r="I166" s="241">
        <f>'6.Cons Profit &amp; Loss'!G29*(1-$N$124)</f>
        <v>92729223.378522888</v>
      </c>
      <c r="J166" s="241">
        <f>'6.Cons Profit &amp; Loss'!H29*(1-$N$124)</f>
        <v>103825990.33894818</v>
      </c>
    </row>
    <row r="167" spans="2:10">
      <c r="B167" s="428" t="s">
        <v>358</v>
      </c>
      <c r="C167" s="430"/>
      <c r="D167" s="241">
        <f t="shared" ref="D167:J167" si="22">SUM(D165:D166)</f>
        <v>49180625.566725776</v>
      </c>
      <c r="E167" s="241">
        <f t="shared" si="22"/>
        <v>58544099.936579451</v>
      </c>
      <c r="F167" s="241">
        <f t="shared" si="22"/>
        <v>66768980.949255973</v>
      </c>
      <c r="G167" s="241">
        <f t="shared" si="22"/>
        <v>75742664.037426382</v>
      </c>
      <c r="H167" s="241">
        <f t="shared" si="22"/>
        <v>85389485.032040715</v>
      </c>
      <c r="I167" s="241">
        <f t="shared" si="22"/>
        <v>95811631.466022894</v>
      </c>
      <c r="J167" s="241">
        <f t="shared" si="22"/>
        <v>107062518.83082318</v>
      </c>
    </row>
    <row r="168" spans="2:10">
      <c r="B168" s="429" t="s">
        <v>359</v>
      </c>
      <c r="C168" s="431"/>
      <c r="D168" s="243">
        <f t="shared" ref="D168:J168" si="23">+D163-D167</f>
        <v>7922856.1306352466</v>
      </c>
      <c r="E168" s="243">
        <f t="shared" si="23"/>
        <v>9041695.1371124685</v>
      </c>
      <c r="F168" s="243">
        <f t="shared" si="23"/>
        <v>10598175.05911985</v>
      </c>
      <c r="G168" s="243">
        <f t="shared" si="23"/>
        <v>12242845.641014561</v>
      </c>
      <c r="H168" s="243">
        <f t="shared" si="23"/>
        <v>14082795.793450892</v>
      </c>
      <c r="I168" s="243">
        <f t="shared" si="23"/>
        <v>15986998.342703402</v>
      </c>
      <c r="J168" s="243">
        <f t="shared" si="23"/>
        <v>18046414.157397494</v>
      </c>
    </row>
    <row r="169" spans="2:10">
      <c r="D169" s="58"/>
      <c r="E169" s="58"/>
      <c r="F169" s="58"/>
      <c r="G169" s="58"/>
      <c r="H169" s="58"/>
      <c r="I169" s="58"/>
      <c r="J169" s="58"/>
    </row>
    <row r="170" spans="2:10">
      <c r="B170" s="418" t="s">
        <v>362</v>
      </c>
      <c r="C170" s="421"/>
      <c r="D170" s="60" t="s">
        <v>2</v>
      </c>
      <c r="E170" s="60" t="s">
        <v>3</v>
      </c>
      <c r="F170" s="60" t="s">
        <v>4</v>
      </c>
      <c r="G170" s="60" t="s">
        <v>5</v>
      </c>
      <c r="H170" s="60" t="s">
        <v>6</v>
      </c>
      <c r="I170" s="60" t="s">
        <v>170</v>
      </c>
      <c r="J170" s="60" t="s">
        <v>169</v>
      </c>
    </row>
    <row r="171" spans="2:10">
      <c r="B171" s="428">
        <f t="shared" ref="B171:B178" si="24">B155</f>
        <v>0</v>
      </c>
      <c r="C171" s="430"/>
      <c r="D171" s="57">
        <f>'6.Cons Profit &amp; Loss'!B8</f>
        <v>0</v>
      </c>
      <c r="E171" s="57">
        <f>'6.Cons Profit &amp; Loss'!C8</f>
        <v>0</v>
      </c>
      <c r="F171" s="57">
        <f>'6.Cons Profit &amp; Loss'!D8</f>
        <v>0</v>
      </c>
      <c r="G171" s="57">
        <f>'6.Cons Profit &amp; Loss'!E8</f>
        <v>0</v>
      </c>
      <c r="H171" s="57">
        <f>'6.Cons Profit &amp; Loss'!F8</f>
        <v>0</v>
      </c>
      <c r="I171" s="57">
        <f>'6.Cons Profit &amp; Loss'!G8</f>
        <v>0</v>
      </c>
      <c r="J171" s="57">
        <f>'6.Cons Profit &amp; Loss'!H8</f>
        <v>0</v>
      </c>
    </row>
    <row r="172" spans="2:10">
      <c r="B172" s="428" t="str">
        <f t="shared" si="24"/>
        <v>Facility 1 - Processing Unit- Dal Mill</v>
      </c>
      <c r="C172" s="430"/>
      <c r="D172" s="57">
        <f>'6.Cons Profit &amp; Loss'!B9</f>
        <v>52243811.117316008</v>
      </c>
      <c r="E172" s="57">
        <f>'6.Cons Profit &amp; Loss'!C9</f>
        <v>62440755.968408599</v>
      </c>
      <c r="F172" s="57">
        <f>'6.Cons Profit &amp; Loss'!D9</f>
        <v>71543085.125943542</v>
      </c>
      <c r="G172" s="57">
        <f>'6.Cons Profit &amp; Loss'!E9</f>
        <v>81399545.309310943</v>
      </c>
      <c r="H172" s="57">
        <f>'6.Cons Profit &amp; Loss'!F9</f>
        <v>92062793.798200205</v>
      </c>
      <c r="I172" s="57">
        <f>'6.Cons Profit &amp; Loss'!G9</f>
        <v>103588868.27270517</v>
      </c>
      <c r="J172" s="57">
        <f>'6.Cons Profit &amp; Loss'!H9</f>
        <v>116037393.21016508</v>
      </c>
    </row>
    <row r="173" spans="2:10">
      <c r="B173" s="428" t="str">
        <f t="shared" si="24"/>
        <v>Facility 2 - Besan Unit</v>
      </c>
      <c r="C173" s="430"/>
      <c r="D173" s="57">
        <f>'6.Cons Profit &amp; Loss'!B10</f>
        <v>5473757.6428499995</v>
      </c>
      <c r="E173" s="57">
        <f>'6.Cons Profit &amp; Loss'!C10</f>
        <v>5950121.4271500744</v>
      </c>
      <c r="F173" s="57">
        <f>'6.Cons Profit &amp; Loss'!D10</f>
        <v>6788029.5218665898</v>
      </c>
      <c r="G173" s="57">
        <f>'6.Cons Profit &amp; Loss'!E10</f>
        <v>7723534.6993910624</v>
      </c>
      <c r="H173" s="57">
        <f>'6.Cons Profit &amp; Loss'!F10</f>
        <v>8735620.3208633158</v>
      </c>
      <c r="I173" s="57">
        <f>'6.Cons Profit &amp; Loss'!G10</f>
        <v>9829605.6677343119</v>
      </c>
      <c r="J173" s="57">
        <f>'6.Cons Profit &amp; Loss'!H10</f>
        <v>11011150.498490252</v>
      </c>
    </row>
    <row r="174" spans="2:10">
      <c r="B174" s="428" t="str">
        <f t="shared" si="24"/>
        <v>Facility 3 - Warehouse</v>
      </c>
      <c r="C174" s="430"/>
      <c r="D174" s="57">
        <f>'6.Cons Profit &amp; Loss'!B11</f>
        <v>1152000</v>
      </c>
      <c r="E174" s="57">
        <f>'6.Cons Profit &amp; Loss'!C11</f>
        <v>1285200.0000000002</v>
      </c>
      <c r="F174" s="57">
        <f>'6.Cons Profit &amp; Loss'!D11</f>
        <v>1428840.0000000002</v>
      </c>
      <c r="G174" s="57">
        <f>'6.Cons Profit &amp; Loss'!E11</f>
        <v>1583631.0000000007</v>
      </c>
      <c r="H174" s="57">
        <f>'6.Cons Profit &amp; Loss'!F11</f>
        <v>1750329.0000000009</v>
      </c>
      <c r="I174" s="57">
        <f>'6.Cons Profit &amp; Loss'!G11</f>
        <v>1837845.4500000011</v>
      </c>
      <c r="J174" s="57">
        <f>'6.Cons Profit &amp; Loss'!H11</f>
        <v>1929737.7225000013</v>
      </c>
    </row>
    <row r="175" spans="2:10">
      <c r="B175" s="428" t="str">
        <f t="shared" si="24"/>
        <v xml:space="preserve">Facility 4 - Custom Hiring </v>
      </c>
      <c r="C175" s="430"/>
      <c r="D175" s="57">
        <f>'6.Cons Profit &amp; Loss'!B12</f>
        <v>0</v>
      </c>
      <c r="E175" s="57">
        <f>'6.Cons Profit &amp; Loss'!C12</f>
        <v>0</v>
      </c>
      <c r="F175" s="57">
        <f>'6.Cons Profit &amp; Loss'!D12</f>
        <v>0</v>
      </c>
      <c r="G175" s="57">
        <f>'6.Cons Profit &amp; Loss'!E12</f>
        <v>0</v>
      </c>
      <c r="H175" s="57">
        <f>'6.Cons Profit &amp; Loss'!F12</f>
        <v>0</v>
      </c>
      <c r="I175" s="57">
        <f>'6.Cons Profit &amp; Loss'!G12</f>
        <v>0</v>
      </c>
      <c r="J175" s="57">
        <f>'6.Cons Profit &amp; Loss'!H12</f>
        <v>0</v>
      </c>
    </row>
    <row r="176" spans="2:10">
      <c r="B176" s="428" t="str">
        <f t="shared" si="24"/>
        <v>Faclitiy 5 - Agri Input Centre</v>
      </c>
      <c r="C176" s="430"/>
      <c r="D176" s="57">
        <f>'6.Cons Profit &amp; Loss'!B13</f>
        <v>0</v>
      </c>
      <c r="E176" s="57">
        <f>'6.Cons Profit &amp; Loss'!C13</f>
        <v>0</v>
      </c>
      <c r="F176" s="57">
        <f>'6.Cons Profit &amp; Loss'!D13</f>
        <v>0</v>
      </c>
      <c r="G176" s="57">
        <f>'6.Cons Profit &amp; Loss'!E13</f>
        <v>0</v>
      </c>
      <c r="H176" s="57">
        <f>'6.Cons Profit &amp; Loss'!F13</f>
        <v>0</v>
      </c>
      <c r="I176" s="57">
        <f>'6.Cons Profit &amp; Loss'!G13</f>
        <v>0</v>
      </c>
      <c r="J176" s="57">
        <f>'6.Cons Profit &amp; Loss'!H13</f>
        <v>0</v>
      </c>
    </row>
    <row r="177" spans="2:13">
      <c r="B177" s="428" t="str">
        <f t="shared" si="24"/>
        <v>Facility 6 - F &amp; V Processing Unit &amp; Cold Storage</v>
      </c>
      <c r="C177" s="430"/>
      <c r="D177" s="57">
        <f>'6.Cons Profit &amp; Loss'!B14</f>
        <v>0</v>
      </c>
      <c r="E177" s="57">
        <f>'6.Cons Profit &amp; Loss'!C14</f>
        <v>0</v>
      </c>
      <c r="F177" s="57">
        <f>'6.Cons Profit &amp; Loss'!D14</f>
        <v>0</v>
      </c>
      <c r="G177" s="57">
        <f>'6.Cons Profit &amp; Loss'!E14</f>
        <v>0</v>
      </c>
      <c r="H177" s="57">
        <f>'6.Cons Profit &amp; Loss'!F14</f>
        <v>0</v>
      </c>
      <c r="I177" s="57">
        <f>'6.Cons Profit &amp; Loss'!G14</f>
        <v>0</v>
      </c>
      <c r="J177" s="57">
        <f>'6.Cons Profit &amp; Loss'!H14</f>
        <v>0</v>
      </c>
    </row>
    <row r="178" spans="2:13" hidden="1">
      <c r="B178" s="428" t="str">
        <f t="shared" si="24"/>
        <v>Facility 6 - Cold Storage Unit</v>
      </c>
      <c r="C178" s="430"/>
      <c r="D178" s="57">
        <f>'6.Cons Profit &amp; Loss'!B15</f>
        <v>0</v>
      </c>
      <c r="E178" s="57">
        <f>'6.Cons Profit &amp; Loss'!C15</f>
        <v>0</v>
      </c>
      <c r="F178" s="57">
        <f>'6.Cons Profit &amp; Loss'!D15</f>
        <v>0</v>
      </c>
      <c r="G178" s="57">
        <f>'6.Cons Profit &amp; Loss'!E15</f>
        <v>0</v>
      </c>
      <c r="H178" s="57">
        <f>'6.Cons Profit &amp; Loss'!F15</f>
        <v>0</v>
      </c>
      <c r="I178" s="57">
        <f>'6.Cons Profit &amp; Loss'!G15</f>
        <v>0</v>
      </c>
      <c r="J178" s="57">
        <f>'6.Cons Profit &amp; Loss'!H15</f>
        <v>0</v>
      </c>
    </row>
    <row r="179" spans="2:13">
      <c r="B179" s="428" t="s">
        <v>355</v>
      </c>
      <c r="C179" s="430"/>
      <c r="D179" s="57">
        <f>SUM(D171:D178)</f>
        <v>58869568.760166004</v>
      </c>
      <c r="E179" s="57">
        <f t="shared" ref="E179:J179" si="25">SUM(E171:E178)</f>
        <v>69676077.39555867</v>
      </c>
      <c r="F179" s="57">
        <f t="shared" si="25"/>
        <v>79759954.647810131</v>
      </c>
      <c r="G179" s="57">
        <f t="shared" si="25"/>
        <v>90706711.00870201</v>
      </c>
      <c r="H179" s="57">
        <f t="shared" si="25"/>
        <v>102548743.11906353</v>
      </c>
      <c r="I179" s="57">
        <f t="shared" si="25"/>
        <v>115256319.39043948</v>
      </c>
      <c r="J179" s="57">
        <f t="shared" si="25"/>
        <v>128978281.43115532</v>
      </c>
    </row>
    <row r="180" spans="2:13">
      <c r="B180" s="428" t="s">
        <v>356</v>
      </c>
      <c r="C180" s="430"/>
      <c r="D180" s="57"/>
      <c r="E180" s="57"/>
      <c r="F180" s="57"/>
      <c r="G180" s="57"/>
      <c r="H180" s="57"/>
      <c r="I180" s="57"/>
      <c r="J180" s="57"/>
    </row>
    <row r="181" spans="2:13">
      <c r="B181" s="428" t="s">
        <v>357</v>
      </c>
      <c r="C181" s="430"/>
      <c r="D181" s="57">
        <f>'6.Cons Profit &amp; Loss'!B41</f>
        <v>2368000</v>
      </c>
      <c r="E181" s="57">
        <f>'6.Cons Profit &amp; Loss'!C41</f>
        <v>2486400</v>
      </c>
      <c r="F181" s="57">
        <f>'6.Cons Profit &amp; Loss'!D41</f>
        <v>2610720</v>
      </c>
      <c r="G181" s="57">
        <f>'6.Cons Profit &amp; Loss'!E41</f>
        <v>2795835</v>
      </c>
      <c r="H181" s="57">
        <f>'6.Cons Profit &amp; Loss'!F41</f>
        <v>2935626.75</v>
      </c>
      <c r="I181" s="57">
        <f>'6.Cons Profit &amp; Loss'!G41</f>
        <v>3082408.0875000004</v>
      </c>
      <c r="J181" s="57">
        <f>'6.Cons Profit &amp; Loss'!H41</f>
        <v>3236528.4918750008</v>
      </c>
    </row>
    <row r="182" spans="2:13">
      <c r="B182" s="428" t="s">
        <v>314</v>
      </c>
      <c r="C182" s="430"/>
      <c r="D182" s="57">
        <f>'6.Cons Profit &amp; Loss'!B29*(1-$N$126)</f>
        <v>45847416.792154111</v>
      </c>
      <c r="E182" s="57">
        <f>'6.Cons Profit &amp; Loss'!C29*(1-$N$126)</f>
        <v>54901871.071907707</v>
      </c>
      <c r="F182" s="57">
        <f>'6.Cons Profit &amp; Loss'!D29*(1-$N$126)</f>
        <v>62835410.208034202</v>
      </c>
      <c r="G182" s="57">
        <f>'6.Cons Profit &amp; Loss'!E29*(1-$N$126)</f>
        <v>71442770.706757799</v>
      </c>
      <c r="H182" s="57">
        <f>'6.Cons Profit &amp; Loss'!F29*(1-$N$126)</f>
        <v>80753778.729833677</v>
      </c>
      <c r="I182" s="57">
        <f>'6.Cons Profit &amp; Loss'!G29*(1-$N$126)</f>
        <v>90817280.628450245</v>
      </c>
      <c r="J182" s="57">
        <f>'6.Cons Profit &amp; Loss'!H29*(1-$N$126)</f>
        <v>101685248.27010389</v>
      </c>
    </row>
    <row r="183" spans="2:13">
      <c r="B183" s="428" t="s">
        <v>358</v>
      </c>
      <c r="C183" s="430"/>
      <c r="D183" s="57">
        <f t="shared" ref="D183:J183" si="26">SUM(D181:D182)</f>
        <v>48215416.792154111</v>
      </c>
      <c r="E183" s="57">
        <f t="shared" si="26"/>
        <v>57388271.071907707</v>
      </c>
      <c r="F183" s="57">
        <f t="shared" si="26"/>
        <v>65446130.208034202</v>
      </c>
      <c r="G183" s="57">
        <f t="shared" si="26"/>
        <v>74238605.706757799</v>
      </c>
      <c r="H183" s="57">
        <f t="shared" si="26"/>
        <v>83689405.479833677</v>
      </c>
      <c r="I183" s="57">
        <f t="shared" si="26"/>
        <v>93899688.715950251</v>
      </c>
      <c r="J183" s="57">
        <f t="shared" si="26"/>
        <v>104921776.76197889</v>
      </c>
    </row>
    <row r="184" spans="2:13">
      <c r="B184" s="429" t="s">
        <v>359</v>
      </c>
      <c r="C184" s="431"/>
      <c r="D184" s="242">
        <f t="shared" ref="D184:J184" si="27">+D179-D183</f>
        <v>10654151.968011893</v>
      </c>
      <c r="E184" s="242">
        <f t="shared" si="27"/>
        <v>12287806.323650964</v>
      </c>
      <c r="F184" s="242">
        <f t="shared" si="27"/>
        <v>14313824.439775929</v>
      </c>
      <c r="G184" s="242">
        <f t="shared" si="27"/>
        <v>16468105.301944211</v>
      </c>
      <c r="H184" s="242">
        <f t="shared" si="27"/>
        <v>18859337.639229849</v>
      </c>
      <c r="I184" s="242">
        <f t="shared" si="27"/>
        <v>21356630.67448923</v>
      </c>
      <c r="J184" s="242">
        <f t="shared" si="27"/>
        <v>24056504.66917643</v>
      </c>
    </row>
    <row r="186" spans="2:13" ht="41.1" customHeight="1">
      <c r="B186" s="1160" t="s">
        <v>539</v>
      </c>
      <c r="C186" s="1160"/>
      <c r="D186" s="1160"/>
      <c r="E186" s="1160"/>
      <c r="F186" s="1160"/>
      <c r="G186" s="1160"/>
      <c r="H186" s="1160"/>
      <c r="I186" s="1160"/>
      <c r="J186" s="249"/>
      <c r="K186" s="249"/>
      <c r="L186" s="249"/>
      <c r="M186" s="249"/>
    </row>
  </sheetData>
  <mergeCells count="28">
    <mergeCell ref="K121:R121"/>
    <mergeCell ref="D20:J20"/>
    <mergeCell ref="D22:J22"/>
    <mergeCell ref="B76:J76"/>
    <mergeCell ref="B89:I89"/>
    <mergeCell ref="B104:J104"/>
    <mergeCell ref="B119:J119"/>
    <mergeCell ref="B106:I106"/>
    <mergeCell ref="D83:J83"/>
    <mergeCell ref="D84:J84"/>
    <mergeCell ref="D86:J86"/>
    <mergeCell ref="B91:J91"/>
    <mergeCell ref="B26:J26"/>
    <mergeCell ref="B83:C83"/>
    <mergeCell ref="B84:C84"/>
    <mergeCell ref="B85:C85"/>
    <mergeCell ref="B5:J5"/>
    <mergeCell ref="B24:J24"/>
    <mergeCell ref="B52:J52"/>
    <mergeCell ref="B55:J55"/>
    <mergeCell ref="B186:I186"/>
    <mergeCell ref="B121:I121"/>
    <mergeCell ref="B86:C86"/>
    <mergeCell ref="B77:J77"/>
    <mergeCell ref="B79:C79"/>
    <mergeCell ref="B80:C80"/>
    <mergeCell ref="B81:C81"/>
    <mergeCell ref="B82:C82"/>
  </mergeCells>
  <hyperlinks>
    <hyperlink ref="B24" r:id="rId1" display="https://www.investopedia.com/terms/d/discountrate.asp"/>
  </hyperlinks>
  <pageMargins left="1.45" right="0.7" top="1.3149999999999999" bottom="0.75" header="0.3" footer="0.3"/>
  <pageSetup paperSize="9" scale="51" orientation="portrait" r:id="rId2"/>
  <rowBreaks count="2" manualBreakCount="2">
    <brk id="76" min="1" max="9" man="1"/>
    <brk id="120" min="1" max="9" man="1"/>
  </rowBreaks>
  <colBreaks count="1" manualBreakCount="1">
    <brk id="10" max="18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9"/>
  <sheetViews>
    <sheetView view="pageBreakPreview" topLeftCell="B67" zoomScale="80" zoomScaleSheetLayoutView="80" workbookViewId="0">
      <selection activeCell="M77" sqref="M77"/>
    </sheetView>
  </sheetViews>
  <sheetFormatPr defaultRowHeight="15"/>
  <cols>
    <col min="1" max="1" width="49.140625" bestFit="1" customWidth="1"/>
    <col min="2" max="2" width="23.28515625" bestFit="1" customWidth="1"/>
    <col min="3" max="3" width="11.5703125" customWidth="1"/>
    <col min="4" max="4" width="15.7109375" customWidth="1"/>
    <col min="5" max="5" width="11.140625" customWidth="1"/>
    <col min="6" max="6" width="15.85546875" customWidth="1"/>
    <col min="7" max="7" width="13.140625" customWidth="1"/>
    <col min="8" max="13" width="17.42578125" customWidth="1"/>
    <col min="14" max="14" width="11.42578125" bestFit="1" customWidth="1"/>
    <col min="15" max="19" width="11.42578125" customWidth="1"/>
    <col min="20" max="20" width="9.140625" bestFit="1" customWidth="1"/>
  </cols>
  <sheetData>
    <row r="1" spans="1:34" ht="18.75">
      <c r="A1" s="724" t="s">
        <v>1996</v>
      </c>
      <c r="B1" s="724"/>
      <c r="C1" s="724"/>
      <c r="D1" s="724"/>
      <c r="E1" s="724"/>
      <c r="F1" s="724"/>
      <c r="G1" s="724"/>
      <c r="H1" s="724"/>
      <c r="I1" s="405"/>
      <c r="J1" s="405"/>
      <c r="K1" s="405"/>
      <c r="L1" s="405"/>
      <c r="M1" s="405"/>
    </row>
    <row r="2" spans="1:34">
      <c r="B2" s="4"/>
    </row>
    <row r="3" spans="1:34" ht="18.75">
      <c r="A3" s="725" t="s">
        <v>565</v>
      </c>
      <c r="B3" s="725"/>
    </row>
    <row r="4" spans="1:34">
      <c r="A4" s="211" t="s">
        <v>0</v>
      </c>
      <c r="B4" s="222" t="s">
        <v>391</v>
      </c>
      <c r="C4" s="223"/>
      <c r="D4" s="223"/>
      <c r="E4" s="223"/>
      <c r="F4" s="223"/>
      <c r="G4" s="223"/>
      <c r="H4" s="223"/>
      <c r="I4" s="223"/>
      <c r="J4" s="223"/>
      <c r="K4" s="223"/>
      <c r="L4" s="223"/>
      <c r="M4" s="223"/>
    </row>
    <row r="5" spans="1:34">
      <c r="A5" s="9" t="s">
        <v>501</v>
      </c>
      <c r="B5" s="9">
        <v>688</v>
      </c>
      <c r="D5" s="224">
        <v>262</v>
      </c>
      <c r="E5" s="224">
        <f>+D5-B5</f>
        <v>-426</v>
      </c>
      <c r="F5" s="224"/>
      <c r="G5" s="224"/>
      <c r="H5" s="224"/>
      <c r="I5" s="224"/>
      <c r="J5" s="224"/>
      <c r="K5" s="224"/>
      <c r="L5" s="224"/>
      <c r="M5" s="224"/>
    </row>
    <row r="6" spans="1:34">
      <c r="A6" s="9" t="s">
        <v>502</v>
      </c>
      <c r="B6" s="9">
        <v>1000</v>
      </c>
      <c r="D6" s="224"/>
      <c r="E6" s="224"/>
      <c r="F6" s="224"/>
      <c r="G6" s="224"/>
      <c r="H6" s="224"/>
      <c r="I6" s="224"/>
      <c r="J6" s="224"/>
      <c r="K6" s="224"/>
      <c r="L6" s="224"/>
      <c r="M6" s="224"/>
    </row>
    <row r="7" spans="1:34">
      <c r="A7" s="2" t="s">
        <v>1</v>
      </c>
      <c r="B7" s="2">
        <f>B5+B6</f>
        <v>1688</v>
      </c>
      <c r="C7" s="5"/>
      <c r="D7" s="225"/>
      <c r="E7" s="225"/>
      <c r="F7" s="225"/>
      <c r="G7" s="225"/>
      <c r="H7" s="225"/>
      <c r="I7" s="225"/>
      <c r="J7" s="225"/>
      <c r="K7" s="225"/>
      <c r="L7" s="225"/>
      <c r="M7" s="225"/>
    </row>
    <row r="8" spans="1:34">
      <c r="A8" s="2" t="s">
        <v>503</v>
      </c>
      <c r="B8" s="678">
        <v>5.49</v>
      </c>
      <c r="C8" s="5"/>
      <c r="D8" s="5"/>
      <c r="E8" s="5"/>
      <c r="F8" s="5"/>
      <c r="G8" s="5"/>
      <c r="H8" s="5"/>
      <c r="I8" s="5"/>
      <c r="J8" s="5"/>
      <c r="K8" s="5"/>
      <c r="L8" s="5"/>
      <c r="M8" s="5"/>
    </row>
    <row r="9" spans="1:34">
      <c r="A9" s="2" t="s">
        <v>508</v>
      </c>
      <c r="B9" s="678">
        <f>B7*B8</f>
        <v>9267.1200000000008</v>
      </c>
      <c r="C9" s="225"/>
      <c r="D9" s="225"/>
      <c r="E9" s="225"/>
      <c r="F9" s="225"/>
      <c r="G9" s="225"/>
      <c r="H9" s="225"/>
      <c r="I9" s="225"/>
      <c r="J9" s="225"/>
      <c r="K9" s="225"/>
      <c r="L9" s="225"/>
      <c r="M9" s="225"/>
    </row>
    <row r="11" spans="1:34" ht="18.75">
      <c r="A11" s="724" t="s">
        <v>566</v>
      </c>
      <c r="B11" s="724"/>
      <c r="C11" s="724"/>
      <c r="D11" s="724"/>
      <c r="E11" s="724"/>
      <c r="F11" s="724"/>
      <c r="G11" s="724"/>
      <c r="H11" s="724"/>
      <c r="I11" s="405"/>
      <c r="J11" s="405"/>
      <c r="K11" s="405"/>
      <c r="L11" s="405"/>
      <c r="M11" s="405"/>
      <c r="N11" s="5"/>
      <c r="O11" s="5"/>
      <c r="P11" s="5"/>
      <c r="Q11" s="5"/>
      <c r="R11" s="5"/>
      <c r="S11" s="5"/>
      <c r="T11" s="5"/>
      <c r="U11" s="5"/>
      <c r="V11" s="5"/>
      <c r="W11" s="5"/>
      <c r="X11" s="5"/>
      <c r="Y11" s="5"/>
      <c r="Z11" s="5"/>
    </row>
    <row r="12" spans="1:34">
      <c r="T12" s="3"/>
      <c r="U12" s="220"/>
      <c r="V12" s="220"/>
      <c r="W12" s="220"/>
      <c r="X12" s="220"/>
      <c r="Y12" s="3"/>
      <c r="Z12" s="3"/>
      <c r="AA12" s="3"/>
      <c r="AB12" s="3"/>
      <c r="AC12" s="3"/>
      <c r="AD12" s="3"/>
      <c r="AE12" s="3"/>
      <c r="AF12" s="6"/>
      <c r="AG12" s="6"/>
      <c r="AH12" s="6"/>
    </row>
    <row r="13" spans="1:34" ht="60">
      <c r="A13" s="211" t="s">
        <v>395</v>
      </c>
      <c r="B13" s="211" t="s">
        <v>396</v>
      </c>
      <c r="C13" s="212" t="s">
        <v>450</v>
      </c>
      <c r="D13" s="212" t="s">
        <v>458</v>
      </c>
      <c r="E13" s="212" t="s">
        <v>459</v>
      </c>
      <c r="F13" s="212" t="s">
        <v>397</v>
      </c>
      <c r="G13" s="212" t="s">
        <v>618</v>
      </c>
      <c r="H13" s="212" t="s">
        <v>398</v>
      </c>
      <c r="I13" s="570"/>
      <c r="J13" s="570"/>
      <c r="K13" s="570"/>
      <c r="L13" s="570"/>
      <c r="M13" s="570"/>
      <c r="O13" s="569"/>
      <c r="P13" s="570"/>
      <c r="Q13" s="570"/>
      <c r="R13" s="570"/>
      <c r="Y13" s="219"/>
      <c r="Z13" s="219"/>
      <c r="AA13" s="219"/>
      <c r="AB13" s="219"/>
      <c r="AC13" s="219"/>
      <c r="AD13" s="219"/>
      <c r="AE13" s="219"/>
      <c r="AF13" s="219"/>
      <c r="AG13" s="219"/>
      <c r="AH13" s="219"/>
    </row>
    <row r="14" spans="1:34">
      <c r="A14" s="726" t="s">
        <v>399</v>
      </c>
      <c r="B14" s="9" t="s">
        <v>168</v>
      </c>
      <c r="C14" s="579">
        <v>0</v>
      </c>
      <c r="D14" s="9">
        <f>$B$9*C14</f>
        <v>0</v>
      </c>
      <c r="E14" s="650">
        <v>10.49</v>
      </c>
      <c r="F14" s="9">
        <f>D14*E14</f>
        <v>0</v>
      </c>
      <c r="G14" s="230">
        <v>0</v>
      </c>
      <c r="H14" s="9">
        <f>(F14-F14*G14)</f>
        <v>0</v>
      </c>
    </row>
    <row r="15" spans="1:34">
      <c r="A15" s="727"/>
      <c r="B15" s="9" t="s">
        <v>481</v>
      </c>
      <c r="C15" s="579">
        <v>0.4</v>
      </c>
      <c r="D15" s="9">
        <f t="shared" ref="D15:D22" si="0">$B$9*C15</f>
        <v>3706.8480000000004</v>
      </c>
      <c r="E15" s="650">
        <v>7.49</v>
      </c>
      <c r="F15" s="9">
        <f t="shared" ref="F15:F36" si="1">D15*E15</f>
        <v>27764.291520000002</v>
      </c>
      <c r="G15" s="230">
        <v>0.02</v>
      </c>
      <c r="H15" s="9">
        <f>(F15-F15*G15)</f>
        <v>27209.005689600002</v>
      </c>
    </row>
    <row r="16" spans="1:34">
      <c r="A16" s="727"/>
      <c r="B16" s="9" t="s">
        <v>480</v>
      </c>
      <c r="C16" s="579">
        <v>0</v>
      </c>
      <c r="D16" s="9">
        <f t="shared" si="0"/>
        <v>0</v>
      </c>
      <c r="E16" s="9">
        <v>4</v>
      </c>
      <c r="F16" s="9">
        <f t="shared" si="1"/>
        <v>0</v>
      </c>
      <c r="G16" s="230">
        <v>0</v>
      </c>
      <c r="H16" s="9">
        <f t="shared" ref="H16:H36" si="2">(F16-F16*G16)</f>
        <v>0</v>
      </c>
    </row>
    <row r="17" spans="1:8">
      <c r="A17" s="727"/>
      <c r="B17" s="9" t="s">
        <v>478</v>
      </c>
      <c r="C17" s="579">
        <v>0</v>
      </c>
      <c r="D17" s="9">
        <f t="shared" si="0"/>
        <v>0</v>
      </c>
      <c r="E17" s="650">
        <v>7.49</v>
      </c>
      <c r="F17" s="9">
        <f t="shared" si="1"/>
        <v>0</v>
      </c>
      <c r="G17" s="230">
        <v>0.02</v>
      </c>
      <c r="H17" s="9">
        <f t="shared" si="2"/>
        <v>0</v>
      </c>
    </row>
    <row r="18" spans="1:8">
      <c r="A18" s="727"/>
      <c r="B18" s="9" t="s">
        <v>400</v>
      </c>
      <c r="C18" s="579">
        <v>0</v>
      </c>
      <c r="D18" s="9">
        <f t="shared" si="0"/>
        <v>0</v>
      </c>
      <c r="E18" s="650">
        <v>12.49</v>
      </c>
      <c r="F18" s="9">
        <f t="shared" si="1"/>
        <v>0</v>
      </c>
      <c r="G18" s="230">
        <v>0</v>
      </c>
      <c r="H18" s="9">
        <f t="shared" si="2"/>
        <v>0</v>
      </c>
    </row>
    <row r="19" spans="1:8">
      <c r="A19" s="727"/>
      <c r="B19" s="9" t="s">
        <v>479</v>
      </c>
      <c r="C19" s="579">
        <v>0</v>
      </c>
      <c r="D19" s="9">
        <f t="shared" si="0"/>
        <v>0</v>
      </c>
      <c r="E19" s="650">
        <v>7.49</v>
      </c>
      <c r="F19" s="9">
        <f t="shared" si="1"/>
        <v>0</v>
      </c>
      <c r="G19" s="230">
        <v>0.02</v>
      </c>
      <c r="H19" s="9">
        <f t="shared" si="2"/>
        <v>0</v>
      </c>
    </row>
    <row r="20" spans="1:8">
      <c r="A20" s="727"/>
      <c r="B20" s="9" t="s">
        <v>472</v>
      </c>
      <c r="C20" s="579">
        <v>0</v>
      </c>
      <c r="D20" s="9">
        <f t="shared" si="0"/>
        <v>0</v>
      </c>
      <c r="E20" s="9">
        <v>6</v>
      </c>
      <c r="F20" s="9">
        <f t="shared" si="1"/>
        <v>0</v>
      </c>
      <c r="G20" s="230">
        <v>0.02</v>
      </c>
      <c r="H20" s="9">
        <f t="shared" si="2"/>
        <v>0</v>
      </c>
    </row>
    <row r="21" spans="1:8">
      <c r="A21" s="727"/>
      <c r="B21" s="9" t="s">
        <v>404</v>
      </c>
      <c r="C21" s="579">
        <v>0</v>
      </c>
      <c r="D21" s="9">
        <f t="shared" si="0"/>
        <v>0</v>
      </c>
      <c r="E21" s="9">
        <v>10</v>
      </c>
      <c r="F21" s="9">
        <f t="shared" si="1"/>
        <v>0</v>
      </c>
      <c r="G21" s="230">
        <v>0</v>
      </c>
      <c r="H21" s="9">
        <f t="shared" si="2"/>
        <v>0</v>
      </c>
    </row>
    <row r="22" spans="1:8">
      <c r="A22" s="728"/>
      <c r="B22" s="9" t="s">
        <v>482</v>
      </c>
      <c r="C22" s="579">
        <v>0</v>
      </c>
      <c r="D22" s="9">
        <f t="shared" si="0"/>
        <v>0</v>
      </c>
      <c r="E22" s="9"/>
      <c r="F22" s="9">
        <f t="shared" si="1"/>
        <v>0</v>
      </c>
      <c r="G22" s="230">
        <v>0</v>
      </c>
      <c r="H22" s="9">
        <f t="shared" si="2"/>
        <v>0</v>
      </c>
    </row>
    <row r="23" spans="1:8">
      <c r="A23" s="227" t="s">
        <v>486</v>
      </c>
      <c r="B23" s="230">
        <v>0.5</v>
      </c>
      <c r="C23" s="234">
        <f>B9*B23</f>
        <v>4633.5600000000004</v>
      </c>
      <c r="D23" s="9"/>
      <c r="E23" s="9"/>
      <c r="F23" s="9"/>
      <c r="G23" s="230"/>
      <c r="H23" s="9"/>
    </row>
    <row r="24" spans="1:8">
      <c r="A24" s="726" t="s">
        <v>401</v>
      </c>
      <c r="B24" s="9" t="s">
        <v>402</v>
      </c>
      <c r="C24" s="579">
        <v>0</v>
      </c>
      <c r="D24" s="669">
        <f>C$23*C24</f>
        <v>0</v>
      </c>
      <c r="E24" s="669">
        <v>10</v>
      </c>
      <c r="F24" s="669">
        <f t="shared" si="1"/>
        <v>0</v>
      </c>
      <c r="G24" s="579">
        <v>0.15</v>
      </c>
      <c r="H24" s="669">
        <f t="shared" si="2"/>
        <v>0</v>
      </c>
    </row>
    <row r="25" spans="1:8">
      <c r="A25" s="727"/>
      <c r="B25" s="9" t="s">
        <v>403</v>
      </c>
      <c r="C25" s="579">
        <v>0.5</v>
      </c>
      <c r="D25" s="669">
        <f t="shared" ref="D25:D31" si="3">C$23*C25</f>
        <v>2316.7800000000002</v>
      </c>
      <c r="E25" s="650">
        <v>10</v>
      </c>
      <c r="F25" s="669">
        <f t="shared" si="1"/>
        <v>23167.800000000003</v>
      </c>
      <c r="G25" s="579">
        <v>0.02</v>
      </c>
      <c r="H25" s="669">
        <f>(F25-F25*G25)</f>
        <v>22704.444000000003</v>
      </c>
    </row>
    <row r="26" spans="1:8">
      <c r="A26" s="727"/>
      <c r="B26" s="9" t="s">
        <v>404</v>
      </c>
      <c r="C26" s="579">
        <v>0</v>
      </c>
      <c r="D26" s="669">
        <f t="shared" si="3"/>
        <v>0</v>
      </c>
      <c r="E26" s="669">
        <v>9</v>
      </c>
      <c r="F26" s="669">
        <f t="shared" si="1"/>
        <v>0</v>
      </c>
      <c r="G26" s="579">
        <v>0.02</v>
      </c>
      <c r="H26" s="669">
        <f t="shared" si="2"/>
        <v>0</v>
      </c>
    </row>
    <row r="27" spans="1:8">
      <c r="A27" s="727"/>
      <c r="B27" s="9" t="s">
        <v>400</v>
      </c>
      <c r="C27" s="579">
        <v>0</v>
      </c>
      <c r="D27" s="9">
        <f t="shared" si="3"/>
        <v>0</v>
      </c>
      <c r="E27" s="650">
        <v>12.49</v>
      </c>
      <c r="F27" s="9">
        <f t="shared" si="1"/>
        <v>0</v>
      </c>
      <c r="G27" s="230">
        <v>0</v>
      </c>
      <c r="H27" s="9">
        <f t="shared" si="2"/>
        <v>0</v>
      </c>
    </row>
    <row r="28" spans="1:8">
      <c r="A28" s="727"/>
      <c r="B28" s="9" t="s">
        <v>483</v>
      </c>
      <c r="C28" s="579">
        <v>0</v>
      </c>
      <c r="D28" s="9">
        <f t="shared" si="3"/>
        <v>0</v>
      </c>
      <c r="E28" s="9"/>
      <c r="F28" s="9">
        <f t="shared" si="1"/>
        <v>0</v>
      </c>
      <c r="G28" s="230">
        <v>0</v>
      </c>
      <c r="H28" s="9">
        <f t="shared" si="2"/>
        <v>0</v>
      </c>
    </row>
    <row r="29" spans="1:8">
      <c r="A29" s="727"/>
      <c r="B29" s="9"/>
      <c r="C29" s="579">
        <v>0</v>
      </c>
      <c r="D29" s="9">
        <f t="shared" si="3"/>
        <v>0</v>
      </c>
      <c r="E29" s="9"/>
      <c r="F29" s="9">
        <f t="shared" si="1"/>
        <v>0</v>
      </c>
      <c r="G29" s="230">
        <v>0</v>
      </c>
      <c r="H29" s="9">
        <f t="shared" si="2"/>
        <v>0</v>
      </c>
    </row>
    <row r="30" spans="1:8" hidden="1">
      <c r="A30" s="727"/>
      <c r="B30" s="9"/>
      <c r="C30" s="579">
        <v>0</v>
      </c>
      <c r="D30" s="9">
        <f t="shared" si="3"/>
        <v>0</v>
      </c>
      <c r="E30" s="9"/>
      <c r="F30" s="9">
        <f t="shared" si="1"/>
        <v>0</v>
      </c>
      <c r="G30" s="230">
        <v>0</v>
      </c>
      <c r="H30" s="9">
        <f t="shared" si="2"/>
        <v>0</v>
      </c>
    </row>
    <row r="31" spans="1:8">
      <c r="A31" s="728"/>
      <c r="B31" s="9"/>
      <c r="C31" s="579">
        <v>0</v>
      </c>
      <c r="D31" s="9">
        <f t="shared" si="3"/>
        <v>0</v>
      </c>
      <c r="E31" s="9"/>
      <c r="F31" s="9">
        <f t="shared" si="1"/>
        <v>0</v>
      </c>
      <c r="G31" s="230">
        <v>0</v>
      </c>
      <c r="H31" s="9">
        <f t="shared" si="2"/>
        <v>0</v>
      </c>
    </row>
    <row r="32" spans="1:8">
      <c r="A32" s="227" t="s">
        <v>485</v>
      </c>
      <c r="B32" s="230">
        <v>0</v>
      </c>
      <c r="C32" s="9">
        <f>B9*B32</f>
        <v>0</v>
      </c>
      <c r="D32" s="9"/>
      <c r="E32" s="9"/>
      <c r="F32" s="9"/>
      <c r="G32" s="230"/>
      <c r="H32" s="9"/>
    </row>
    <row r="33" spans="1:20">
      <c r="A33" s="235" t="s">
        <v>463</v>
      </c>
      <c r="B33" s="9" t="s">
        <v>484</v>
      </c>
      <c r="C33" s="579">
        <v>0</v>
      </c>
      <c r="D33" s="9">
        <f>C$32*C33</f>
        <v>0</v>
      </c>
      <c r="E33" s="9"/>
      <c r="F33" s="9">
        <f t="shared" si="1"/>
        <v>0</v>
      </c>
      <c r="G33" s="230">
        <v>0</v>
      </c>
      <c r="H33" s="9">
        <f t="shared" si="2"/>
        <v>0</v>
      </c>
    </row>
    <row r="34" spans="1:20">
      <c r="A34" s="236"/>
      <c r="B34" s="9"/>
      <c r="C34" s="579">
        <v>0</v>
      </c>
      <c r="D34" s="9">
        <f>C$32*C34</f>
        <v>0</v>
      </c>
      <c r="E34" s="9"/>
      <c r="F34" s="9">
        <f t="shared" si="1"/>
        <v>0</v>
      </c>
      <c r="G34" s="230">
        <v>0</v>
      </c>
      <c r="H34" s="9">
        <f t="shared" si="2"/>
        <v>0</v>
      </c>
    </row>
    <row r="35" spans="1:20">
      <c r="A35" s="236"/>
      <c r="B35" s="9"/>
      <c r="C35" s="579">
        <v>0</v>
      </c>
      <c r="D35" s="9">
        <f>C$32*C35</f>
        <v>0</v>
      </c>
      <c r="E35" s="9"/>
      <c r="F35" s="9">
        <f t="shared" si="1"/>
        <v>0</v>
      </c>
      <c r="G35" s="230">
        <v>0</v>
      </c>
      <c r="H35" s="9">
        <f t="shared" si="2"/>
        <v>0</v>
      </c>
    </row>
    <row r="36" spans="1:20">
      <c r="A36" s="237"/>
      <c r="B36" s="9"/>
      <c r="C36" s="579">
        <v>0</v>
      </c>
      <c r="D36" s="9">
        <f>C$32*C36</f>
        <v>0</v>
      </c>
      <c r="E36" s="9"/>
      <c r="F36" s="9">
        <f t="shared" si="1"/>
        <v>0</v>
      </c>
      <c r="G36" s="230">
        <v>0</v>
      </c>
      <c r="H36" s="9">
        <f t="shared" si="2"/>
        <v>0</v>
      </c>
    </row>
    <row r="37" spans="1:20">
      <c r="A37" s="729" t="s">
        <v>405</v>
      </c>
      <c r="B37" s="729"/>
      <c r="C37" s="729"/>
      <c r="D37" s="729"/>
      <c r="E37" s="729"/>
      <c r="F37" s="729"/>
      <c r="G37" s="729"/>
      <c r="H37" s="729"/>
      <c r="I37" s="12"/>
      <c r="J37" s="12"/>
      <c r="K37" s="12"/>
      <c r="L37" s="12"/>
      <c r="M37" s="12"/>
    </row>
    <row r="38" spans="1:20">
      <c r="A38" s="12"/>
      <c r="B38" s="12"/>
      <c r="C38" s="12"/>
      <c r="D38" s="12"/>
      <c r="E38" s="12"/>
      <c r="F38" s="12"/>
      <c r="G38" s="12"/>
      <c r="H38" s="12"/>
      <c r="I38" s="12"/>
      <c r="J38" s="12"/>
      <c r="K38" s="12"/>
      <c r="L38" s="12"/>
      <c r="M38" s="12"/>
    </row>
    <row r="39" spans="1:20" ht="18.75">
      <c r="A39" s="1173" t="s">
        <v>1997</v>
      </c>
      <c r="B39" s="1174"/>
      <c r="C39" s="1174"/>
      <c r="D39" s="1174"/>
      <c r="E39" s="1174"/>
      <c r="F39" s="1174"/>
      <c r="G39" s="1174"/>
      <c r="H39" s="1175"/>
      <c r="I39" s="405"/>
      <c r="J39" s="405"/>
      <c r="K39" s="405"/>
      <c r="L39" s="405"/>
      <c r="M39" s="405"/>
    </row>
    <row r="40" spans="1:20">
      <c r="A40" s="1176" t="s">
        <v>0</v>
      </c>
      <c r="B40" s="228">
        <v>0.5</v>
      </c>
      <c r="C40" s="228">
        <f t="shared" ref="C40:H40" si="4">B40+0.05</f>
        <v>0.55000000000000004</v>
      </c>
      <c r="D40" s="228">
        <f t="shared" si="4"/>
        <v>0.60000000000000009</v>
      </c>
      <c r="E40" s="228">
        <f t="shared" si="4"/>
        <v>0.65000000000000013</v>
      </c>
      <c r="F40" s="228">
        <f t="shared" si="4"/>
        <v>0.70000000000000018</v>
      </c>
      <c r="G40" s="228">
        <f t="shared" si="4"/>
        <v>0.75000000000000022</v>
      </c>
      <c r="H40" s="228">
        <f t="shared" si="4"/>
        <v>0.80000000000000027</v>
      </c>
      <c r="I40" s="663"/>
      <c r="J40" s="663"/>
      <c r="K40" s="663"/>
      <c r="L40" s="663"/>
      <c r="M40" s="663"/>
    </row>
    <row r="41" spans="1:20">
      <c r="A41" s="1177"/>
      <c r="B41" s="222" t="s">
        <v>2</v>
      </c>
      <c r="C41" s="222" t="s">
        <v>3</v>
      </c>
      <c r="D41" s="222" t="s">
        <v>4</v>
      </c>
      <c r="E41" s="222" t="s">
        <v>5</v>
      </c>
      <c r="F41" s="222" t="s">
        <v>6</v>
      </c>
      <c r="G41" s="222" t="s">
        <v>170</v>
      </c>
      <c r="H41" s="222" t="s">
        <v>169</v>
      </c>
      <c r="I41" s="664"/>
      <c r="J41" s="664"/>
      <c r="K41" s="664"/>
      <c r="L41" s="664"/>
      <c r="M41" s="664"/>
    </row>
    <row r="42" spans="1:20">
      <c r="A42" s="9" t="str">
        <f t="shared" ref="A42:A50" si="5">B14</f>
        <v>Soybean</v>
      </c>
      <c r="B42" s="539">
        <f>H14*$B$40</f>
        <v>0</v>
      </c>
      <c r="C42" s="539">
        <f t="shared" ref="C42:H57" si="6">(B42/B$40)*C$40</f>
        <v>0</v>
      </c>
      <c r="D42" s="539">
        <f t="shared" si="6"/>
        <v>0</v>
      </c>
      <c r="E42" s="539">
        <f t="shared" si="6"/>
        <v>0</v>
      </c>
      <c r="F42" s="539">
        <f t="shared" si="6"/>
        <v>0</v>
      </c>
      <c r="G42" s="539">
        <f t="shared" si="6"/>
        <v>0</v>
      </c>
      <c r="H42" s="539">
        <f t="shared" si="6"/>
        <v>0</v>
      </c>
      <c r="I42" s="554"/>
      <c r="J42" s="554"/>
      <c r="K42" s="554"/>
      <c r="L42" s="554"/>
      <c r="M42" s="554"/>
      <c r="N42" s="554"/>
      <c r="O42" s="554"/>
      <c r="P42" s="554"/>
      <c r="Q42" s="554"/>
      <c r="R42" s="554"/>
      <c r="S42" s="554"/>
      <c r="T42" s="554"/>
    </row>
    <row r="43" spans="1:20">
      <c r="A43" s="9" t="str">
        <f t="shared" si="5"/>
        <v>Red Gram/Tur</v>
      </c>
      <c r="B43" s="539">
        <f>H15*$B$40*0</f>
        <v>0</v>
      </c>
      <c r="C43" s="539">
        <f t="shared" si="6"/>
        <v>0</v>
      </c>
      <c r="D43" s="539">
        <f t="shared" si="6"/>
        <v>0</v>
      </c>
      <c r="E43" s="539">
        <f t="shared" si="6"/>
        <v>0</v>
      </c>
      <c r="F43" s="539">
        <f t="shared" si="6"/>
        <v>0</v>
      </c>
      <c r="G43" s="539">
        <f t="shared" si="6"/>
        <v>0</v>
      </c>
      <c r="H43" s="539">
        <f t="shared" si="6"/>
        <v>0</v>
      </c>
      <c r="I43" s="1"/>
      <c r="J43" s="1"/>
      <c r="K43" s="1"/>
      <c r="L43" s="1"/>
      <c r="M43" s="1"/>
    </row>
    <row r="44" spans="1:20">
      <c r="A44" s="9" t="str">
        <f t="shared" si="5"/>
        <v>Paddy/Rice</v>
      </c>
      <c r="B44" s="539">
        <f>H16*$B$40</f>
        <v>0</v>
      </c>
      <c r="C44" s="539">
        <f t="shared" si="6"/>
        <v>0</v>
      </c>
      <c r="D44" s="539">
        <f t="shared" si="6"/>
        <v>0</v>
      </c>
      <c r="E44" s="539">
        <f t="shared" si="6"/>
        <v>0</v>
      </c>
      <c r="F44" s="539">
        <f t="shared" si="6"/>
        <v>0</v>
      </c>
      <c r="G44" s="539">
        <f t="shared" si="6"/>
        <v>0</v>
      </c>
      <c r="H44" s="539">
        <f t="shared" si="6"/>
        <v>0</v>
      </c>
      <c r="I44" s="1"/>
      <c r="J44" s="1"/>
      <c r="K44" s="1"/>
      <c r="L44" s="1"/>
      <c r="M44" s="1"/>
    </row>
    <row r="45" spans="1:20">
      <c r="A45" s="9" t="str">
        <f t="shared" si="5"/>
        <v>Green Gram/ Moong</v>
      </c>
      <c r="B45" s="539">
        <f>H17*$B$40*0</f>
        <v>0</v>
      </c>
      <c r="C45" s="539">
        <f t="shared" si="6"/>
        <v>0</v>
      </c>
      <c r="D45" s="539">
        <f t="shared" si="6"/>
        <v>0</v>
      </c>
      <c r="E45" s="539">
        <f t="shared" si="6"/>
        <v>0</v>
      </c>
      <c r="F45" s="539">
        <f t="shared" si="6"/>
        <v>0</v>
      </c>
      <c r="G45" s="539">
        <f t="shared" si="6"/>
        <v>0</v>
      </c>
      <c r="H45" s="539">
        <f t="shared" si="6"/>
        <v>0</v>
      </c>
      <c r="I45" s="1"/>
      <c r="J45" s="1"/>
      <c r="K45" s="1"/>
      <c r="L45" s="1"/>
      <c r="M45" s="1"/>
    </row>
    <row r="46" spans="1:20">
      <c r="A46" s="9" t="str">
        <f t="shared" si="5"/>
        <v>Maize</v>
      </c>
      <c r="B46" s="539">
        <f>H18*$B$40</f>
        <v>0</v>
      </c>
      <c r="C46" s="539">
        <f t="shared" si="6"/>
        <v>0</v>
      </c>
      <c r="D46" s="539">
        <f t="shared" si="6"/>
        <v>0</v>
      </c>
      <c r="E46" s="539">
        <f t="shared" si="6"/>
        <v>0</v>
      </c>
      <c r="F46" s="539">
        <f t="shared" si="6"/>
        <v>0</v>
      </c>
      <c r="G46" s="539">
        <f t="shared" si="6"/>
        <v>0</v>
      </c>
      <c r="H46" s="539">
        <f t="shared" si="6"/>
        <v>0</v>
      </c>
      <c r="I46" s="1"/>
      <c r="J46" s="1"/>
      <c r="K46" s="1"/>
      <c r="L46" s="1"/>
      <c r="M46" s="1"/>
    </row>
    <row r="47" spans="1:20">
      <c r="A47" s="9" t="str">
        <f t="shared" si="5"/>
        <v>Black Gram/Udid</v>
      </c>
      <c r="B47" s="539">
        <f>H19*$B$40*0</f>
        <v>0</v>
      </c>
      <c r="C47" s="539">
        <f t="shared" si="6"/>
        <v>0</v>
      </c>
      <c r="D47" s="539">
        <f t="shared" si="6"/>
        <v>0</v>
      </c>
      <c r="E47" s="539">
        <f t="shared" si="6"/>
        <v>0</v>
      </c>
      <c r="F47" s="539">
        <f t="shared" si="6"/>
        <v>0</v>
      </c>
      <c r="G47" s="539">
        <f t="shared" si="6"/>
        <v>0</v>
      </c>
      <c r="H47" s="539">
        <f t="shared" si="6"/>
        <v>0</v>
      </c>
      <c r="I47" s="1"/>
      <c r="J47" s="1"/>
      <c r="K47" s="1"/>
      <c r="L47" s="1"/>
      <c r="M47" s="1"/>
    </row>
    <row r="48" spans="1:20">
      <c r="A48" s="9" t="str">
        <f t="shared" si="5"/>
        <v>Bajra</v>
      </c>
      <c r="B48" s="539">
        <f>H20*$B$40</f>
        <v>0</v>
      </c>
      <c r="C48" s="539">
        <f t="shared" si="6"/>
        <v>0</v>
      </c>
      <c r="D48" s="539">
        <f t="shared" si="6"/>
        <v>0</v>
      </c>
      <c r="E48" s="539">
        <f t="shared" si="6"/>
        <v>0</v>
      </c>
      <c r="F48" s="539">
        <f t="shared" si="6"/>
        <v>0</v>
      </c>
      <c r="G48" s="539">
        <f t="shared" si="6"/>
        <v>0</v>
      </c>
      <c r="H48" s="539">
        <f t="shared" si="6"/>
        <v>0</v>
      </c>
      <c r="I48" s="1"/>
      <c r="J48" s="1"/>
      <c r="K48" s="1"/>
      <c r="L48" s="1"/>
      <c r="M48" s="1"/>
    </row>
    <row r="49" spans="1:19">
      <c r="A49" s="9" t="str">
        <f t="shared" si="5"/>
        <v>Jawar</v>
      </c>
      <c r="B49" s="539">
        <f>H21*60%</f>
        <v>0</v>
      </c>
      <c r="C49" s="539">
        <f t="shared" si="6"/>
        <v>0</v>
      </c>
      <c r="D49" s="539">
        <f t="shared" si="6"/>
        <v>0</v>
      </c>
      <c r="E49" s="539">
        <f t="shared" si="6"/>
        <v>0</v>
      </c>
      <c r="F49" s="539">
        <f t="shared" si="6"/>
        <v>0</v>
      </c>
      <c r="G49" s="539">
        <f t="shared" si="6"/>
        <v>0</v>
      </c>
      <c r="H49" s="539">
        <f t="shared" si="6"/>
        <v>0</v>
      </c>
      <c r="I49" s="1"/>
      <c r="J49" s="1"/>
      <c r="K49" s="1"/>
      <c r="L49" s="1"/>
      <c r="M49" s="1"/>
    </row>
    <row r="50" spans="1:19">
      <c r="A50" s="9" t="str">
        <f t="shared" si="5"/>
        <v>Sunflower</v>
      </c>
      <c r="B50" s="539">
        <f>H22*$B$40</f>
        <v>0</v>
      </c>
      <c r="C50" s="539">
        <f t="shared" si="6"/>
        <v>0</v>
      </c>
      <c r="D50" s="539">
        <f t="shared" si="6"/>
        <v>0</v>
      </c>
      <c r="E50" s="539">
        <f t="shared" si="6"/>
        <v>0</v>
      </c>
      <c r="F50" s="539">
        <f t="shared" si="6"/>
        <v>0</v>
      </c>
      <c r="G50" s="539">
        <f t="shared" si="6"/>
        <v>0</v>
      </c>
      <c r="H50" s="539">
        <f t="shared" si="6"/>
        <v>0</v>
      </c>
      <c r="I50" s="1"/>
      <c r="J50" s="1"/>
      <c r="K50" s="1"/>
      <c r="L50" s="1"/>
      <c r="M50" s="1"/>
    </row>
    <row r="51" spans="1:19">
      <c r="A51" s="9" t="str">
        <f t="shared" ref="A51:A58" si="7">B24</f>
        <v>Wheat</v>
      </c>
      <c r="B51" s="539">
        <f>H23*$B$40</f>
        <v>0</v>
      </c>
      <c r="C51" s="539">
        <f t="shared" si="6"/>
        <v>0</v>
      </c>
      <c r="D51" s="539">
        <f t="shared" si="6"/>
        <v>0</v>
      </c>
      <c r="E51" s="539">
        <f t="shared" si="6"/>
        <v>0</v>
      </c>
      <c r="F51" s="539">
        <f t="shared" si="6"/>
        <v>0</v>
      </c>
      <c r="G51" s="539">
        <f t="shared" si="6"/>
        <v>0</v>
      </c>
      <c r="H51" s="539">
        <f t="shared" si="6"/>
        <v>0</v>
      </c>
      <c r="I51" s="1"/>
      <c r="J51" s="1"/>
      <c r="K51" s="1"/>
      <c r="L51" s="1"/>
      <c r="M51" s="1"/>
    </row>
    <row r="52" spans="1:19">
      <c r="A52" s="9" t="str">
        <f t="shared" si="7"/>
        <v>Bengal Gram/Channa</v>
      </c>
      <c r="B52" s="539">
        <f>H24*$B$40*0</f>
        <v>0</v>
      </c>
      <c r="C52" s="539">
        <f t="shared" si="6"/>
        <v>0</v>
      </c>
      <c r="D52" s="539">
        <f t="shared" si="6"/>
        <v>0</v>
      </c>
      <c r="E52" s="539">
        <f t="shared" si="6"/>
        <v>0</v>
      </c>
      <c r="F52" s="539">
        <f t="shared" si="6"/>
        <v>0</v>
      </c>
      <c r="G52" s="539">
        <f t="shared" si="6"/>
        <v>0</v>
      </c>
      <c r="H52" s="539">
        <f t="shared" si="6"/>
        <v>0</v>
      </c>
      <c r="I52" s="554"/>
      <c r="J52" s="554"/>
      <c r="K52" s="554"/>
      <c r="L52" s="554"/>
      <c r="M52" s="554"/>
      <c r="N52" s="554"/>
      <c r="O52" s="1"/>
      <c r="P52" s="1"/>
      <c r="Q52" s="1"/>
      <c r="R52" s="1"/>
      <c r="S52" s="1"/>
    </row>
    <row r="53" spans="1:19">
      <c r="A53" s="9" t="str">
        <f t="shared" si="7"/>
        <v>Jawar</v>
      </c>
      <c r="B53" s="539">
        <f>H26*$B$40</f>
        <v>0</v>
      </c>
      <c r="C53" s="539">
        <f t="shared" si="6"/>
        <v>0</v>
      </c>
      <c r="D53" s="539">
        <f t="shared" si="6"/>
        <v>0</v>
      </c>
      <c r="E53" s="539">
        <f t="shared" si="6"/>
        <v>0</v>
      </c>
      <c r="F53" s="539">
        <f t="shared" si="6"/>
        <v>0</v>
      </c>
      <c r="G53" s="539">
        <f t="shared" si="6"/>
        <v>0</v>
      </c>
      <c r="H53" s="539">
        <f t="shared" si="6"/>
        <v>0</v>
      </c>
      <c r="I53" s="1"/>
      <c r="J53" s="1"/>
      <c r="K53" s="1"/>
      <c r="L53" s="1"/>
      <c r="M53" s="1"/>
    </row>
    <row r="54" spans="1:19">
      <c r="A54" s="9" t="str">
        <f t="shared" si="7"/>
        <v>Maize</v>
      </c>
      <c r="B54" s="539">
        <f>H27*B40</f>
        <v>0</v>
      </c>
      <c r="C54" s="539">
        <f t="shared" si="6"/>
        <v>0</v>
      </c>
      <c r="D54" s="539">
        <f t="shared" si="6"/>
        <v>0</v>
      </c>
      <c r="E54" s="539">
        <f t="shared" si="6"/>
        <v>0</v>
      </c>
      <c r="F54" s="539">
        <f t="shared" si="6"/>
        <v>0</v>
      </c>
      <c r="G54" s="539">
        <f t="shared" si="6"/>
        <v>0</v>
      </c>
      <c r="H54" s="539">
        <f t="shared" si="6"/>
        <v>0</v>
      </c>
      <c r="I54" s="1"/>
      <c r="J54" s="1"/>
      <c r="K54" s="1"/>
      <c r="L54" s="1"/>
      <c r="M54" s="1"/>
    </row>
    <row r="55" spans="1:19">
      <c r="A55" s="9" t="str">
        <f t="shared" si="7"/>
        <v>Safflower</v>
      </c>
      <c r="B55" s="539">
        <f>H28*$B$40</f>
        <v>0</v>
      </c>
      <c r="C55" s="539">
        <f t="shared" si="6"/>
        <v>0</v>
      </c>
      <c r="D55" s="539">
        <f t="shared" si="6"/>
        <v>0</v>
      </c>
      <c r="E55" s="539">
        <f t="shared" si="6"/>
        <v>0</v>
      </c>
      <c r="F55" s="539">
        <f t="shared" si="6"/>
        <v>0</v>
      </c>
      <c r="G55" s="539">
        <f t="shared" si="6"/>
        <v>0</v>
      </c>
      <c r="H55" s="539">
        <f t="shared" si="6"/>
        <v>0</v>
      </c>
      <c r="I55" s="1"/>
      <c r="J55" s="1"/>
      <c r="K55" s="1"/>
      <c r="L55" s="1"/>
      <c r="M55" s="1"/>
    </row>
    <row r="56" spans="1:19">
      <c r="A56" s="9">
        <f t="shared" si="7"/>
        <v>0</v>
      </c>
      <c r="B56" s="539">
        <f>H29*$B$40</f>
        <v>0</v>
      </c>
      <c r="C56" s="539">
        <f t="shared" si="6"/>
        <v>0</v>
      </c>
      <c r="D56" s="539">
        <f t="shared" si="6"/>
        <v>0</v>
      </c>
      <c r="E56" s="539">
        <f t="shared" si="6"/>
        <v>0</v>
      </c>
      <c r="F56" s="539">
        <f t="shared" si="6"/>
        <v>0</v>
      </c>
      <c r="G56" s="539">
        <f t="shared" si="6"/>
        <v>0</v>
      </c>
      <c r="H56" s="539">
        <f t="shared" si="6"/>
        <v>0</v>
      </c>
      <c r="I56" s="1"/>
      <c r="J56" s="1"/>
      <c r="K56" s="1"/>
      <c r="L56" s="1"/>
      <c r="M56" s="1"/>
    </row>
    <row r="57" spans="1:19">
      <c r="A57" s="9">
        <f t="shared" si="7"/>
        <v>0</v>
      </c>
      <c r="B57" s="539">
        <f>H30*$B$40</f>
        <v>0</v>
      </c>
      <c r="C57" s="539">
        <f t="shared" si="6"/>
        <v>0</v>
      </c>
      <c r="D57" s="539">
        <f t="shared" si="6"/>
        <v>0</v>
      </c>
      <c r="E57" s="539">
        <f t="shared" si="6"/>
        <v>0</v>
      </c>
      <c r="F57" s="539">
        <f t="shared" si="6"/>
        <v>0</v>
      </c>
      <c r="G57" s="539">
        <f t="shared" si="6"/>
        <v>0</v>
      </c>
      <c r="H57" s="539">
        <f t="shared" si="6"/>
        <v>0</v>
      </c>
      <c r="I57" s="1"/>
      <c r="J57" s="1"/>
      <c r="K57" s="1"/>
      <c r="L57" s="1"/>
      <c r="M57" s="1"/>
    </row>
    <row r="58" spans="1:19">
      <c r="A58" s="9">
        <f t="shared" si="7"/>
        <v>0</v>
      </c>
      <c r="B58" s="539">
        <f>H31*$B$40</f>
        <v>0</v>
      </c>
      <c r="C58" s="539">
        <f t="shared" ref="C58:H62" si="8">(B58/B$40)*C$40</f>
        <v>0</v>
      </c>
      <c r="D58" s="539">
        <f t="shared" si="8"/>
        <v>0</v>
      </c>
      <c r="E58" s="539">
        <f t="shared" si="8"/>
        <v>0</v>
      </c>
      <c r="F58" s="539">
        <f t="shared" si="8"/>
        <v>0</v>
      </c>
      <c r="G58" s="539">
        <f t="shared" si="8"/>
        <v>0</v>
      </c>
      <c r="H58" s="539">
        <f t="shared" si="8"/>
        <v>0</v>
      </c>
      <c r="I58" s="1"/>
      <c r="J58" s="1"/>
      <c r="K58" s="1"/>
      <c r="L58" s="1"/>
      <c r="M58" s="1"/>
    </row>
    <row r="59" spans="1:19">
      <c r="A59" s="9" t="str">
        <f>B33</f>
        <v>Groundnut</v>
      </c>
      <c r="B59" s="9">
        <f>H33*$B$40</f>
        <v>0</v>
      </c>
      <c r="C59" s="9">
        <f t="shared" si="8"/>
        <v>0</v>
      </c>
      <c r="D59" s="9">
        <f t="shared" si="8"/>
        <v>0</v>
      </c>
      <c r="E59" s="9">
        <f t="shared" si="8"/>
        <v>0</v>
      </c>
      <c r="F59" s="9">
        <f t="shared" si="8"/>
        <v>0</v>
      </c>
      <c r="G59" s="9">
        <f t="shared" si="8"/>
        <v>0</v>
      </c>
      <c r="H59" s="9">
        <f t="shared" si="8"/>
        <v>0</v>
      </c>
    </row>
    <row r="60" spans="1:19">
      <c r="A60" s="9">
        <f>B34</f>
        <v>0</v>
      </c>
      <c r="B60" s="9">
        <f>H34*$B$40</f>
        <v>0</v>
      </c>
      <c r="C60" s="9">
        <f t="shared" si="8"/>
        <v>0</v>
      </c>
      <c r="D60" s="9">
        <f t="shared" si="8"/>
        <v>0</v>
      </c>
      <c r="E60" s="9">
        <f t="shared" si="8"/>
        <v>0</v>
      </c>
      <c r="F60" s="9">
        <f t="shared" si="8"/>
        <v>0</v>
      </c>
      <c r="G60" s="9">
        <f t="shared" si="8"/>
        <v>0</v>
      </c>
      <c r="H60" s="9">
        <f t="shared" si="8"/>
        <v>0</v>
      </c>
    </row>
    <row r="61" spans="1:19">
      <c r="A61" s="9">
        <f>B35</f>
        <v>0</v>
      </c>
      <c r="B61" s="9">
        <f>H35*$B$40</f>
        <v>0</v>
      </c>
      <c r="C61" s="9">
        <f t="shared" si="8"/>
        <v>0</v>
      </c>
      <c r="D61" s="9">
        <f t="shared" si="8"/>
        <v>0</v>
      </c>
      <c r="E61" s="9">
        <f t="shared" si="8"/>
        <v>0</v>
      </c>
      <c r="F61" s="9">
        <f t="shared" si="8"/>
        <v>0</v>
      </c>
      <c r="G61" s="9">
        <f t="shared" si="8"/>
        <v>0</v>
      </c>
      <c r="H61" s="9">
        <f t="shared" si="8"/>
        <v>0</v>
      </c>
    </row>
    <row r="62" spans="1:19">
      <c r="A62" s="9">
        <f>B36</f>
        <v>0</v>
      </c>
      <c r="B62" s="9">
        <f>H36*$B$40</f>
        <v>0</v>
      </c>
      <c r="C62" s="9">
        <f t="shared" si="8"/>
        <v>0</v>
      </c>
      <c r="D62" s="9">
        <f t="shared" si="8"/>
        <v>0</v>
      </c>
      <c r="E62" s="9">
        <f t="shared" si="8"/>
        <v>0</v>
      </c>
      <c r="F62" s="9">
        <f t="shared" si="8"/>
        <v>0</v>
      </c>
      <c r="G62" s="9">
        <f t="shared" si="8"/>
        <v>0</v>
      </c>
      <c r="H62" s="9">
        <f t="shared" si="8"/>
        <v>0</v>
      </c>
    </row>
    <row r="64" spans="1:19" ht="18.75">
      <c r="A64" s="1178" t="s">
        <v>1998</v>
      </c>
      <c r="B64" s="1179"/>
      <c r="C64" s="1179"/>
      <c r="D64" s="1179"/>
      <c r="E64" s="1179"/>
      <c r="F64" s="1179"/>
      <c r="G64" s="1179"/>
      <c r="H64" s="1180"/>
      <c r="I64" s="665"/>
      <c r="J64" s="665"/>
      <c r="K64" s="665"/>
      <c r="L64" s="665"/>
      <c r="M64" s="665"/>
    </row>
    <row r="65" spans="1:19">
      <c r="A65" s="1181" t="s">
        <v>0</v>
      </c>
      <c r="B65" s="229">
        <v>0.5</v>
      </c>
      <c r="C65" s="229">
        <f>B65+0.05</f>
        <v>0.55000000000000004</v>
      </c>
      <c r="D65" s="229">
        <f t="shared" ref="D65:H65" si="9">C65+0.05</f>
        <v>0.60000000000000009</v>
      </c>
      <c r="E65" s="229">
        <f t="shared" si="9"/>
        <v>0.65000000000000013</v>
      </c>
      <c r="F65" s="229">
        <f t="shared" si="9"/>
        <v>0.70000000000000018</v>
      </c>
      <c r="G65" s="229">
        <f t="shared" si="9"/>
        <v>0.75000000000000022</v>
      </c>
      <c r="H65" s="229">
        <f t="shared" si="9"/>
        <v>0.80000000000000027</v>
      </c>
      <c r="I65" s="666"/>
      <c r="J65" s="666"/>
      <c r="K65" s="666"/>
      <c r="L65" s="666"/>
      <c r="M65" s="666"/>
    </row>
    <row r="66" spans="1:19">
      <c r="A66" s="1182"/>
      <c r="B66" s="222" t="s">
        <v>2</v>
      </c>
      <c r="C66" s="222" t="s">
        <v>3</v>
      </c>
      <c r="D66" s="222" t="s">
        <v>4</v>
      </c>
      <c r="E66" s="222" t="s">
        <v>5</v>
      </c>
      <c r="F66" s="222" t="s">
        <v>6</v>
      </c>
      <c r="G66" s="222" t="s">
        <v>170</v>
      </c>
      <c r="H66" s="222" t="s">
        <v>169</v>
      </c>
      <c r="I66" s="664"/>
      <c r="J66" s="664"/>
      <c r="K66" s="664"/>
      <c r="L66" s="664"/>
      <c r="M66" s="664"/>
    </row>
    <row r="67" spans="1:19">
      <c r="A67" s="9" t="str">
        <f t="shared" ref="A67:A87" si="10">A42</f>
        <v>Soybean</v>
      </c>
      <c r="B67" s="9">
        <f>H14*$B$65*0</f>
        <v>0</v>
      </c>
      <c r="C67" s="9">
        <f>(B67/B$65)*C$65</f>
        <v>0</v>
      </c>
      <c r="D67" s="9">
        <f t="shared" ref="D67:H68" si="11">(C67/C$65)*D$65</f>
        <v>0</v>
      </c>
      <c r="E67" s="9">
        <f t="shared" si="11"/>
        <v>0</v>
      </c>
      <c r="F67" s="9">
        <f t="shared" si="11"/>
        <v>0</v>
      </c>
      <c r="G67" s="9">
        <f t="shared" si="11"/>
        <v>0</v>
      </c>
      <c r="H67" s="9">
        <f t="shared" si="11"/>
        <v>0</v>
      </c>
    </row>
    <row r="68" spans="1:19">
      <c r="A68" s="9" t="str">
        <f t="shared" si="10"/>
        <v>Red Gram/Tur</v>
      </c>
      <c r="B68" s="539">
        <f>H15*$B$65</f>
        <v>13604.502844800001</v>
      </c>
      <c r="C68" s="539">
        <f>(B68/B$65)*C$65</f>
        <v>14964.953129280002</v>
      </c>
      <c r="D68" s="539">
        <f t="shared" si="11"/>
        <v>16325.403413760005</v>
      </c>
      <c r="E68" s="539">
        <f t="shared" si="11"/>
        <v>17685.853698240004</v>
      </c>
      <c r="F68" s="539">
        <f t="shared" si="11"/>
        <v>19046.303982720005</v>
      </c>
      <c r="G68" s="539">
        <f t="shared" si="11"/>
        <v>20406.754267200005</v>
      </c>
      <c r="H68" s="539">
        <f t="shared" si="11"/>
        <v>21767.204551680006</v>
      </c>
      <c r="I68" s="711">
        <f>B68/10</f>
        <v>1360.4502844800002</v>
      </c>
      <c r="J68" s="711">
        <f t="shared" ref="J68:M68" si="12">C68/10</f>
        <v>1496.4953129280002</v>
      </c>
      <c r="K68" s="711">
        <f t="shared" si="12"/>
        <v>1632.5403413760005</v>
      </c>
      <c r="L68" s="711">
        <f t="shared" si="12"/>
        <v>1768.5853698240003</v>
      </c>
      <c r="M68" s="711">
        <f t="shared" si="12"/>
        <v>1904.6303982720005</v>
      </c>
      <c r="N68" s="554"/>
      <c r="O68" s="1"/>
      <c r="P68" s="1"/>
      <c r="Q68" s="1"/>
      <c r="R68" s="1"/>
      <c r="S68" s="1"/>
    </row>
    <row r="69" spans="1:19">
      <c r="A69" s="9" t="str">
        <f t="shared" si="10"/>
        <v>Paddy/Rice</v>
      </c>
      <c r="B69" s="539">
        <f>H16*$B$65</f>
        <v>0</v>
      </c>
      <c r="C69" s="539">
        <f t="shared" ref="C69:H84" si="13">(B69/B$65)*C$65</f>
        <v>0</v>
      </c>
      <c r="D69" s="539">
        <f t="shared" si="13"/>
        <v>0</v>
      </c>
      <c r="E69" s="539">
        <f t="shared" si="13"/>
        <v>0</v>
      </c>
      <c r="F69" s="539">
        <f t="shared" si="13"/>
        <v>0</v>
      </c>
      <c r="G69" s="539">
        <f t="shared" si="13"/>
        <v>0</v>
      </c>
      <c r="H69" s="539">
        <f t="shared" si="13"/>
        <v>0</v>
      </c>
      <c r="I69" s="1"/>
      <c r="J69" s="1"/>
      <c r="K69" s="1"/>
      <c r="L69" s="1"/>
      <c r="M69" s="1"/>
    </row>
    <row r="70" spans="1:19">
      <c r="A70" s="9" t="str">
        <f t="shared" si="10"/>
        <v>Green Gram/ Moong</v>
      </c>
      <c r="B70" s="539">
        <f>H17*$B$65</f>
        <v>0</v>
      </c>
      <c r="C70" s="539">
        <f t="shared" si="13"/>
        <v>0</v>
      </c>
      <c r="D70" s="539">
        <f t="shared" si="13"/>
        <v>0</v>
      </c>
      <c r="E70" s="539">
        <f t="shared" si="13"/>
        <v>0</v>
      </c>
      <c r="F70" s="539">
        <f t="shared" si="13"/>
        <v>0</v>
      </c>
      <c r="G70" s="539">
        <f t="shared" si="13"/>
        <v>0</v>
      </c>
      <c r="H70" s="539">
        <f t="shared" si="13"/>
        <v>0</v>
      </c>
      <c r="I70" s="711">
        <f>B70/10</f>
        <v>0</v>
      </c>
      <c r="J70" s="711">
        <f t="shared" ref="J70" si="14">C70/10</f>
        <v>0</v>
      </c>
      <c r="K70" s="711">
        <f t="shared" ref="K70" si="15">D70/10</f>
        <v>0</v>
      </c>
      <c r="L70" s="711">
        <f t="shared" ref="L70" si="16">E70/10</f>
        <v>0</v>
      </c>
      <c r="M70" s="711">
        <f t="shared" ref="M70" si="17">F70/10</f>
        <v>0</v>
      </c>
      <c r="N70" s="711"/>
    </row>
    <row r="71" spans="1:19">
      <c r="A71" s="9" t="str">
        <f t="shared" si="10"/>
        <v>Maize</v>
      </c>
      <c r="B71" s="539">
        <f>H18*0%</f>
        <v>0</v>
      </c>
      <c r="C71" s="539">
        <f t="shared" si="13"/>
        <v>0</v>
      </c>
      <c r="D71" s="539">
        <f t="shared" si="13"/>
        <v>0</v>
      </c>
      <c r="E71" s="539">
        <f t="shared" si="13"/>
        <v>0</v>
      </c>
      <c r="F71" s="539">
        <f t="shared" si="13"/>
        <v>0</v>
      </c>
      <c r="G71" s="539">
        <f t="shared" si="13"/>
        <v>0</v>
      </c>
      <c r="H71" s="539">
        <f t="shared" si="13"/>
        <v>0</v>
      </c>
      <c r="I71" s="1"/>
      <c r="J71" s="1"/>
      <c r="K71" s="1"/>
      <c r="L71" s="1"/>
      <c r="M71" s="1"/>
      <c r="N71" s="1"/>
    </row>
    <row r="72" spans="1:19">
      <c r="A72" s="9" t="str">
        <f t="shared" si="10"/>
        <v>Black Gram/Udid</v>
      </c>
      <c r="B72" s="539">
        <f>H19*$B$65</f>
        <v>0</v>
      </c>
      <c r="C72" s="539">
        <f t="shared" si="13"/>
        <v>0</v>
      </c>
      <c r="D72" s="539">
        <f t="shared" si="13"/>
        <v>0</v>
      </c>
      <c r="E72" s="539">
        <f t="shared" si="13"/>
        <v>0</v>
      </c>
      <c r="F72" s="539">
        <f t="shared" si="13"/>
        <v>0</v>
      </c>
      <c r="G72" s="539">
        <f t="shared" si="13"/>
        <v>0</v>
      </c>
      <c r="H72" s="539">
        <f t="shared" si="13"/>
        <v>0</v>
      </c>
      <c r="I72" s="711">
        <f>B72/10</f>
        <v>0</v>
      </c>
      <c r="J72" s="711">
        <f t="shared" ref="J72" si="18">C72/10</f>
        <v>0</v>
      </c>
      <c r="K72" s="711">
        <f t="shared" ref="K72" si="19">D72/10</f>
        <v>0</v>
      </c>
      <c r="L72" s="711">
        <f t="shared" ref="L72" si="20">E72/10</f>
        <v>0</v>
      </c>
      <c r="M72" s="711">
        <f t="shared" ref="M72" si="21">F72/10</f>
        <v>0</v>
      </c>
      <c r="N72" s="711"/>
    </row>
    <row r="73" spans="1:19">
      <c r="A73" s="9" t="str">
        <f t="shared" si="10"/>
        <v>Bajra</v>
      </c>
      <c r="B73" s="539">
        <f>H20*0</f>
        <v>0</v>
      </c>
      <c r="C73" s="539">
        <f t="shared" si="13"/>
        <v>0</v>
      </c>
      <c r="D73" s="539">
        <f t="shared" si="13"/>
        <v>0</v>
      </c>
      <c r="E73" s="539">
        <f t="shared" si="13"/>
        <v>0</v>
      </c>
      <c r="F73" s="539">
        <f t="shared" si="13"/>
        <v>0</v>
      </c>
      <c r="G73" s="539">
        <f t="shared" si="13"/>
        <v>0</v>
      </c>
      <c r="H73" s="539">
        <f t="shared" si="13"/>
        <v>0</v>
      </c>
      <c r="I73" s="1"/>
      <c r="J73" s="1"/>
      <c r="K73" s="1"/>
      <c r="L73" s="1"/>
      <c r="M73" s="1"/>
    </row>
    <row r="74" spans="1:19">
      <c r="A74" s="9" t="str">
        <f t="shared" si="10"/>
        <v>Jawar</v>
      </c>
      <c r="B74" s="539">
        <f>H21*20%</f>
        <v>0</v>
      </c>
      <c r="C74" s="539">
        <f t="shared" si="13"/>
        <v>0</v>
      </c>
      <c r="D74" s="539">
        <f t="shared" si="13"/>
        <v>0</v>
      </c>
      <c r="E74" s="539">
        <f t="shared" si="13"/>
        <v>0</v>
      </c>
      <c r="F74" s="539">
        <f t="shared" si="13"/>
        <v>0</v>
      </c>
      <c r="G74" s="539">
        <f t="shared" si="13"/>
        <v>0</v>
      </c>
      <c r="H74" s="539">
        <f t="shared" si="13"/>
        <v>0</v>
      </c>
      <c r="I74" s="1"/>
      <c r="J74" s="1"/>
      <c r="K74" s="1"/>
      <c r="L74" s="1"/>
      <c r="M74" s="1"/>
    </row>
    <row r="75" spans="1:19">
      <c r="A75" s="9" t="str">
        <f t="shared" si="10"/>
        <v>Sunflower</v>
      </c>
      <c r="B75" s="539">
        <f>H22*$B$65</f>
        <v>0</v>
      </c>
      <c r="C75" s="539">
        <f t="shared" si="13"/>
        <v>0</v>
      </c>
      <c r="D75" s="539">
        <f t="shared" si="13"/>
        <v>0</v>
      </c>
      <c r="E75" s="539">
        <f t="shared" si="13"/>
        <v>0</v>
      </c>
      <c r="F75" s="539">
        <f t="shared" si="13"/>
        <v>0</v>
      </c>
      <c r="G75" s="539">
        <f t="shared" si="13"/>
        <v>0</v>
      </c>
      <c r="H75" s="539">
        <f t="shared" si="13"/>
        <v>0</v>
      </c>
      <c r="I75" s="1"/>
      <c r="J75" s="1"/>
      <c r="K75" s="1"/>
      <c r="L75" s="1"/>
      <c r="M75" s="1"/>
    </row>
    <row r="76" spans="1:19">
      <c r="A76" s="9" t="str">
        <f t="shared" si="10"/>
        <v>Wheat</v>
      </c>
      <c r="B76" s="539">
        <f>H24*0</f>
        <v>0</v>
      </c>
      <c r="C76" s="539">
        <f t="shared" si="13"/>
        <v>0</v>
      </c>
      <c r="D76" s="539">
        <f t="shared" si="13"/>
        <v>0</v>
      </c>
      <c r="E76" s="539">
        <f t="shared" si="13"/>
        <v>0</v>
      </c>
      <c r="F76" s="539">
        <f t="shared" si="13"/>
        <v>0</v>
      </c>
      <c r="G76" s="539">
        <f t="shared" si="13"/>
        <v>0</v>
      </c>
      <c r="H76" s="539">
        <f t="shared" si="13"/>
        <v>0</v>
      </c>
      <c r="I76" s="1"/>
      <c r="J76" s="1"/>
      <c r="K76" s="1"/>
      <c r="L76" s="1"/>
      <c r="M76" s="1"/>
    </row>
    <row r="77" spans="1:19">
      <c r="A77" s="9" t="str">
        <f t="shared" si="10"/>
        <v>Bengal Gram/Channa</v>
      </c>
      <c r="B77" s="539">
        <f>H25*$B$65</f>
        <v>11352.222000000002</v>
      </c>
      <c r="C77" s="539">
        <f t="shared" si="13"/>
        <v>12487.444200000004</v>
      </c>
      <c r="D77" s="539">
        <f t="shared" si="13"/>
        <v>13622.666400000004</v>
      </c>
      <c r="E77" s="539">
        <f t="shared" si="13"/>
        <v>14757.888600000006</v>
      </c>
      <c r="F77" s="539">
        <f t="shared" si="13"/>
        <v>15893.110800000006</v>
      </c>
      <c r="G77" s="539">
        <f t="shared" si="13"/>
        <v>17028.333000000006</v>
      </c>
      <c r="H77" s="539">
        <f t="shared" si="13"/>
        <v>18163.555200000006</v>
      </c>
      <c r="I77" s="711">
        <f>B77/10</f>
        <v>1135.2222000000002</v>
      </c>
      <c r="J77" s="711">
        <f t="shared" ref="J77" si="22">C77/10</f>
        <v>1248.7444200000004</v>
      </c>
      <c r="K77" s="711">
        <f t="shared" ref="K77" si="23">D77/10</f>
        <v>1362.2666400000003</v>
      </c>
      <c r="L77" s="711">
        <f t="shared" ref="L77" si="24">E77/10</f>
        <v>1475.7888600000006</v>
      </c>
      <c r="M77" s="711">
        <f t="shared" ref="M77" si="25">F77/10</f>
        <v>1589.3110800000006</v>
      </c>
    </row>
    <row r="78" spans="1:19">
      <c r="A78" s="9" t="str">
        <f t="shared" si="10"/>
        <v>Jawar</v>
      </c>
      <c r="B78" s="539">
        <f>H26*0</f>
        <v>0</v>
      </c>
      <c r="C78" s="539">
        <f t="shared" si="13"/>
        <v>0</v>
      </c>
      <c r="D78" s="539">
        <f t="shared" si="13"/>
        <v>0</v>
      </c>
      <c r="E78" s="539">
        <f t="shared" si="13"/>
        <v>0</v>
      </c>
      <c r="F78" s="539">
        <f t="shared" si="13"/>
        <v>0</v>
      </c>
      <c r="G78" s="539">
        <f t="shared" si="13"/>
        <v>0</v>
      </c>
      <c r="H78" s="539">
        <f t="shared" si="13"/>
        <v>0</v>
      </c>
      <c r="I78" s="1"/>
      <c r="J78" s="1"/>
      <c r="K78" s="1"/>
      <c r="L78" s="1"/>
      <c r="M78" s="1"/>
    </row>
    <row r="79" spans="1:19">
      <c r="A79" s="9" t="str">
        <f t="shared" si="10"/>
        <v>Maize</v>
      </c>
      <c r="B79" s="539">
        <f>H27*0%</f>
        <v>0</v>
      </c>
      <c r="C79" s="539">
        <f t="shared" si="13"/>
        <v>0</v>
      </c>
      <c r="D79" s="539">
        <f t="shared" si="13"/>
        <v>0</v>
      </c>
      <c r="E79" s="539">
        <f t="shared" si="13"/>
        <v>0</v>
      </c>
      <c r="F79" s="539">
        <f t="shared" si="13"/>
        <v>0</v>
      </c>
      <c r="G79" s="539">
        <f t="shared" si="13"/>
        <v>0</v>
      </c>
      <c r="H79" s="539">
        <f t="shared" si="13"/>
        <v>0</v>
      </c>
      <c r="I79" s="1"/>
      <c r="J79" s="1"/>
      <c r="K79" s="1"/>
      <c r="L79" s="1"/>
      <c r="M79" s="1"/>
    </row>
    <row r="80" spans="1:19">
      <c r="A80" s="9" t="str">
        <f t="shared" si="10"/>
        <v>Safflower</v>
      </c>
      <c r="B80" s="539">
        <f>H28*$B$65</f>
        <v>0</v>
      </c>
      <c r="C80" s="539">
        <f t="shared" si="13"/>
        <v>0</v>
      </c>
      <c r="D80" s="539">
        <f t="shared" si="13"/>
        <v>0</v>
      </c>
      <c r="E80" s="539">
        <f t="shared" si="13"/>
        <v>0</v>
      </c>
      <c r="F80" s="539">
        <f t="shared" si="13"/>
        <v>0</v>
      </c>
      <c r="G80" s="539">
        <f t="shared" si="13"/>
        <v>0</v>
      </c>
      <c r="H80" s="539">
        <f t="shared" si="13"/>
        <v>0</v>
      </c>
      <c r="I80" s="1"/>
      <c r="J80" s="1"/>
      <c r="K80" s="1"/>
      <c r="L80" s="1"/>
      <c r="M80" s="1"/>
    </row>
    <row r="81" spans="1:13">
      <c r="A81" s="9">
        <f t="shared" si="10"/>
        <v>0</v>
      </c>
      <c r="B81" s="539">
        <f>H29*$B$65</f>
        <v>0</v>
      </c>
      <c r="C81" s="539">
        <f t="shared" si="13"/>
        <v>0</v>
      </c>
      <c r="D81" s="539">
        <f t="shared" si="13"/>
        <v>0</v>
      </c>
      <c r="E81" s="539">
        <f t="shared" si="13"/>
        <v>0</v>
      </c>
      <c r="F81" s="539">
        <f t="shared" si="13"/>
        <v>0</v>
      </c>
      <c r="G81" s="539">
        <f t="shared" si="13"/>
        <v>0</v>
      </c>
      <c r="H81" s="539">
        <f t="shared" si="13"/>
        <v>0</v>
      </c>
      <c r="I81" s="1"/>
      <c r="J81" s="1"/>
      <c r="K81" s="1"/>
      <c r="L81" s="1"/>
      <c r="M81" s="1"/>
    </row>
    <row r="82" spans="1:13">
      <c r="A82" s="9">
        <f t="shared" si="10"/>
        <v>0</v>
      </c>
      <c r="B82" s="539">
        <f>H30*$B$65</f>
        <v>0</v>
      </c>
      <c r="C82" s="539">
        <f t="shared" si="13"/>
        <v>0</v>
      </c>
      <c r="D82" s="539">
        <f t="shared" si="13"/>
        <v>0</v>
      </c>
      <c r="E82" s="539">
        <f t="shared" si="13"/>
        <v>0</v>
      </c>
      <c r="F82" s="539">
        <f t="shared" si="13"/>
        <v>0</v>
      </c>
      <c r="G82" s="539">
        <f t="shared" si="13"/>
        <v>0</v>
      </c>
      <c r="H82" s="539">
        <f t="shared" si="13"/>
        <v>0</v>
      </c>
      <c r="I82" s="1"/>
      <c r="J82" s="1"/>
      <c r="K82" s="1"/>
      <c r="L82" s="1"/>
      <c r="M82" s="1"/>
    </row>
    <row r="83" spans="1:13">
      <c r="A83" s="9">
        <f t="shared" si="10"/>
        <v>0</v>
      </c>
      <c r="B83" s="539">
        <f>H31*$B$65</f>
        <v>0</v>
      </c>
      <c r="C83" s="539">
        <f t="shared" si="13"/>
        <v>0</v>
      </c>
      <c r="D83" s="539">
        <f t="shared" si="13"/>
        <v>0</v>
      </c>
      <c r="E83" s="539">
        <f t="shared" si="13"/>
        <v>0</v>
      </c>
      <c r="F83" s="539">
        <f t="shared" si="13"/>
        <v>0</v>
      </c>
      <c r="G83" s="539">
        <f t="shared" si="13"/>
        <v>0</v>
      </c>
      <c r="H83" s="539">
        <f t="shared" si="13"/>
        <v>0</v>
      </c>
      <c r="I83" s="1"/>
      <c r="J83" s="1"/>
      <c r="K83" s="1"/>
      <c r="L83" s="1"/>
      <c r="M83" s="1"/>
    </row>
    <row r="84" spans="1:13">
      <c r="A84" s="9" t="str">
        <f t="shared" si="10"/>
        <v>Groundnut</v>
      </c>
      <c r="B84" s="9">
        <f>H33*$B$65</f>
        <v>0</v>
      </c>
      <c r="C84" s="9">
        <f t="shared" si="13"/>
        <v>0</v>
      </c>
      <c r="D84" s="9">
        <f t="shared" si="13"/>
        <v>0</v>
      </c>
      <c r="E84" s="9">
        <f t="shared" si="13"/>
        <v>0</v>
      </c>
      <c r="F84" s="9">
        <f t="shared" si="13"/>
        <v>0</v>
      </c>
      <c r="G84" s="9">
        <f t="shared" si="13"/>
        <v>0</v>
      </c>
      <c r="H84" s="9">
        <f t="shared" si="13"/>
        <v>0</v>
      </c>
    </row>
    <row r="85" spans="1:13">
      <c r="A85" s="9">
        <f t="shared" si="10"/>
        <v>0</v>
      </c>
      <c r="B85" s="9">
        <f>H34*$B$65</f>
        <v>0</v>
      </c>
      <c r="C85" s="9">
        <f t="shared" ref="C85:H87" si="26">(B85/B$65)*C$65</f>
        <v>0</v>
      </c>
      <c r="D85" s="9">
        <f t="shared" si="26"/>
        <v>0</v>
      </c>
      <c r="E85" s="9">
        <f t="shared" si="26"/>
        <v>0</v>
      </c>
      <c r="F85" s="9">
        <f t="shared" si="26"/>
        <v>0</v>
      </c>
      <c r="G85" s="9">
        <f t="shared" si="26"/>
        <v>0</v>
      </c>
      <c r="H85" s="9">
        <f t="shared" si="26"/>
        <v>0</v>
      </c>
    </row>
    <row r="86" spans="1:13">
      <c r="A86" s="9">
        <f t="shared" si="10"/>
        <v>0</v>
      </c>
      <c r="B86" s="9">
        <f>H35*$B$65</f>
        <v>0</v>
      </c>
      <c r="C86" s="9">
        <f t="shared" si="26"/>
        <v>0</v>
      </c>
      <c r="D86" s="9">
        <f t="shared" si="26"/>
        <v>0</v>
      </c>
      <c r="E86" s="9">
        <f t="shared" si="26"/>
        <v>0</v>
      </c>
      <c r="F86" s="9">
        <f t="shared" si="26"/>
        <v>0</v>
      </c>
      <c r="G86" s="9">
        <f t="shared" si="26"/>
        <v>0</v>
      </c>
      <c r="H86" s="9">
        <f t="shared" si="26"/>
        <v>0</v>
      </c>
    </row>
    <row r="87" spans="1:13">
      <c r="A87" s="9">
        <f t="shared" si="10"/>
        <v>0</v>
      </c>
      <c r="B87" s="9">
        <f>H36*$B$65</f>
        <v>0</v>
      </c>
      <c r="C87" s="9">
        <f t="shared" si="26"/>
        <v>0</v>
      </c>
      <c r="D87" s="9">
        <f t="shared" si="26"/>
        <v>0</v>
      </c>
      <c r="E87" s="9">
        <f t="shared" si="26"/>
        <v>0</v>
      </c>
      <c r="F87" s="9">
        <f t="shared" si="26"/>
        <v>0</v>
      </c>
      <c r="G87" s="9">
        <f t="shared" si="26"/>
        <v>0</v>
      </c>
      <c r="H87" s="9">
        <f t="shared" si="26"/>
        <v>0</v>
      </c>
    </row>
    <row r="89" spans="1:13">
      <c r="A89" s="1183" t="s">
        <v>1999</v>
      </c>
      <c r="B89" s="1184"/>
      <c r="C89" s="1184"/>
      <c r="D89" s="1184"/>
      <c r="E89" s="1184"/>
      <c r="F89" s="1184"/>
      <c r="G89" s="1184"/>
      <c r="H89" s="1185"/>
      <c r="I89" s="667"/>
      <c r="J89" s="667"/>
      <c r="K89" s="667"/>
      <c r="L89" s="667"/>
      <c r="M89" s="667"/>
    </row>
    <row r="90" spans="1:13">
      <c r="A90" s="1171" t="s">
        <v>0</v>
      </c>
      <c r="B90" s="247">
        <v>0.1</v>
      </c>
      <c r="C90" s="248">
        <f t="shared" ref="C90:H90" si="27">B90+0.05</f>
        <v>0.15000000000000002</v>
      </c>
      <c r="D90" s="248">
        <f t="shared" si="27"/>
        <v>0.2</v>
      </c>
      <c r="E90" s="248">
        <f t="shared" si="27"/>
        <v>0.25</v>
      </c>
      <c r="F90" s="248">
        <f t="shared" si="27"/>
        <v>0.3</v>
      </c>
      <c r="G90" s="248">
        <f t="shared" si="27"/>
        <v>0.35</v>
      </c>
      <c r="H90" s="248">
        <f t="shared" si="27"/>
        <v>0.39999999999999997</v>
      </c>
      <c r="I90" s="668"/>
      <c r="J90" s="668"/>
      <c r="K90" s="668"/>
      <c r="L90" s="668"/>
      <c r="M90" s="668"/>
    </row>
    <row r="91" spans="1:13">
      <c r="A91" s="1172"/>
      <c r="B91" s="222" t="s">
        <v>2</v>
      </c>
      <c r="C91" s="222" t="s">
        <v>3</v>
      </c>
      <c r="D91" s="222" t="s">
        <v>4</v>
      </c>
      <c r="E91" s="222" t="s">
        <v>5</v>
      </c>
      <c r="F91" s="222" t="s">
        <v>6</v>
      </c>
      <c r="G91" s="222" t="s">
        <v>170</v>
      </c>
      <c r="H91" s="222" t="s">
        <v>169</v>
      </c>
      <c r="I91" s="664"/>
      <c r="J91" s="664"/>
      <c r="K91" s="664"/>
      <c r="L91" s="664"/>
      <c r="M91" s="664"/>
    </row>
    <row r="92" spans="1:13">
      <c r="A92" s="9" t="str">
        <f t="shared" ref="A92:A112" si="28">A67</f>
        <v>Soybean</v>
      </c>
      <c r="B92" s="539">
        <f>D14*$B$90*0</f>
        <v>0</v>
      </c>
      <c r="C92" s="539">
        <f t="shared" ref="C92:H92" si="29">(B92/B$90)*C$90</f>
        <v>0</v>
      </c>
      <c r="D92" s="539">
        <f t="shared" si="29"/>
        <v>0</v>
      </c>
      <c r="E92" s="539">
        <f t="shared" si="29"/>
        <v>0</v>
      </c>
      <c r="F92" s="539">
        <f t="shared" si="29"/>
        <v>0</v>
      </c>
      <c r="G92" s="539">
        <f t="shared" si="29"/>
        <v>0</v>
      </c>
      <c r="H92" s="539">
        <f t="shared" si="29"/>
        <v>0</v>
      </c>
      <c r="I92" s="1"/>
      <c r="J92" s="1"/>
      <c r="K92" s="1"/>
      <c r="L92" s="1"/>
      <c r="M92" s="1"/>
    </row>
    <row r="93" spans="1:13">
      <c r="A93" s="9" t="str">
        <f t="shared" si="28"/>
        <v>Red Gram/Tur</v>
      </c>
      <c r="B93" s="539">
        <f>D15*$B$90*0</f>
        <v>0</v>
      </c>
      <c r="C93" s="539">
        <f t="shared" ref="C93:C113" si="30">(B93/B$90)*C$90</f>
        <v>0</v>
      </c>
      <c r="D93" s="539">
        <f>(C93/C90)*D90</f>
        <v>0</v>
      </c>
      <c r="E93" s="539">
        <f>(D93/D90)*E90</f>
        <v>0</v>
      </c>
      <c r="F93" s="539">
        <f>(E93/E90)*F90</f>
        <v>0</v>
      </c>
      <c r="G93" s="539">
        <f>(F93/F90)*G90</f>
        <v>0</v>
      </c>
      <c r="H93" s="539">
        <f>(G93/G90)*H90</f>
        <v>0</v>
      </c>
      <c r="I93" s="1"/>
      <c r="J93" s="1"/>
      <c r="K93" s="1"/>
      <c r="L93" s="1"/>
      <c r="M93" s="1"/>
    </row>
    <row r="94" spans="1:13">
      <c r="A94" s="9" t="str">
        <f t="shared" si="28"/>
        <v>Paddy/Rice</v>
      </c>
      <c r="B94" s="539">
        <f t="shared" ref="B94:B100" si="31">D16*$B$90</f>
        <v>0</v>
      </c>
      <c r="C94" s="539">
        <f t="shared" si="30"/>
        <v>0</v>
      </c>
      <c r="D94" s="539">
        <f t="shared" ref="D94:H103" si="32">(C94/C$90)*D$90</f>
        <v>0</v>
      </c>
      <c r="E94" s="539">
        <f t="shared" si="32"/>
        <v>0</v>
      </c>
      <c r="F94" s="539">
        <f t="shared" si="32"/>
        <v>0</v>
      </c>
      <c r="G94" s="539">
        <f t="shared" si="32"/>
        <v>0</v>
      </c>
      <c r="H94" s="539">
        <f t="shared" si="32"/>
        <v>0</v>
      </c>
      <c r="I94" s="1"/>
      <c r="J94" s="1"/>
      <c r="K94" s="1"/>
      <c r="L94" s="1"/>
      <c r="M94" s="1"/>
    </row>
    <row r="95" spans="1:13">
      <c r="A95" s="9" t="str">
        <f t="shared" si="28"/>
        <v>Green Gram/ Moong</v>
      </c>
      <c r="B95" s="539">
        <f>D17*$B$90*0</f>
        <v>0</v>
      </c>
      <c r="C95" s="539">
        <f t="shared" si="30"/>
        <v>0</v>
      </c>
      <c r="D95" s="539">
        <f t="shared" si="32"/>
        <v>0</v>
      </c>
      <c r="E95" s="539">
        <f t="shared" si="32"/>
        <v>0</v>
      </c>
      <c r="F95" s="539">
        <f t="shared" si="32"/>
        <v>0</v>
      </c>
      <c r="G95" s="539">
        <f t="shared" si="32"/>
        <v>0</v>
      </c>
      <c r="H95" s="539">
        <f t="shared" si="32"/>
        <v>0</v>
      </c>
      <c r="I95" s="1"/>
      <c r="J95" s="1"/>
      <c r="K95" s="1"/>
      <c r="L95" s="1"/>
      <c r="M95" s="1"/>
    </row>
    <row r="96" spans="1:13">
      <c r="A96" s="9" t="str">
        <f t="shared" si="28"/>
        <v>Maize</v>
      </c>
      <c r="B96" s="539">
        <f>D18*$B$90*0</f>
        <v>0</v>
      </c>
      <c r="C96" s="539">
        <f t="shared" si="30"/>
        <v>0</v>
      </c>
      <c r="D96" s="539">
        <f t="shared" si="32"/>
        <v>0</v>
      </c>
      <c r="E96" s="539">
        <f t="shared" si="32"/>
        <v>0</v>
      </c>
      <c r="F96" s="539">
        <f t="shared" si="32"/>
        <v>0</v>
      </c>
      <c r="G96" s="539">
        <f t="shared" si="32"/>
        <v>0</v>
      </c>
      <c r="H96" s="539">
        <f t="shared" si="32"/>
        <v>0</v>
      </c>
      <c r="I96" s="1"/>
      <c r="J96" s="1"/>
      <c r="K96" s="1"/>
      <c r="L96" s="1"/>
      <c r="M96" s="1"/>
    </row>
    <row r="97" spans="1:20">
      <c r="A97" s="9" t="str">
        <f t="shared" si="28"/>
        <v>Black Gram/Udid</v>
      </c>
      <c r="B97" s="539">
        <f>D19*$B$90*0</f>
        <v>0</v>
      </c>
      <c r="C97" s="539">
        <f t="shared" si="30"/>
        <v>0</v>
      </c>
      <c r="D97" s="539">
        <f t="shared" si="32"/>
        <v>0</v>
      </c>
      <c r="E97" s="539">
        <f t="shared" si="32"/>
        <v>0</v>
      </c>
      <c r="F97" s="539">
        <f t="shared" si="32"/>
        <v>0</v>
      </c>
      <c r="G97" s="539">
        <f t="shared" si="32"/>
        <v>0</v>
      </c>
      <c r="H97" s="539">
        <f t="shared" si="32"/>
        <v>0</v>
      </c>
      <c r="I97" s="1"/>
      <c r="J97" s="1"/>
      <c r="K97" s="1"/>
      <c r="L97" s="1"/>
      <c r="M97" s="1"/>
      <c r="T97" s="559"/>
    </row>
    <row r="98" spans="1:20">
      <c r="A98" s="9" t="str">
        <f t="shared" si="28"/>
        <v>Bajra</v>
      </c>
      <c r="B98" s="539">
        <f>D20*$B$90*0</f>
        <v>0</v>
      </c>
      <c r="C98" s="539">
        <f t="shared" si="30"/>
        <v>0</v>
      </c>
      <c r="D98" s="539">
        <f t="shared" si="32"/>
        <v>0</v>
      </c>
      <c r="E98" s="539">
        <f t="shared" si="32"/>
        <v>0</v>
      </c>
      <c r="F98" s="539">
        <f t="shared" si="32"/>
        <v>0</v>
      </c>
      <c r="G98" s="539">
        <f t="shared" si="32"/>
        <v>0</v>
      </c>
      <c r="H98" s="539">
        <f t="shared" si="32"/>
        <v>0</v>
      </c>
      <c r="I98" s="1"/>
      <c r="J98" s="1"/>
      <c r="K98" s="1"/>
      <c r="L98" s="1"/>
      <c r="M98" s="1"/>
      <c r="T98" s="1"/>
    </row>
    <row r="99" spans="1:20">
      <c r="A99" s="9" t="str">
        <f t="shared" si="28"/>
        <v>Jawar</v>
      </c>
      <c r="B99" s="539">
        <f t="shared" si="31"/>
        <v>0</v>
      </c>
      <c r="C99" s="539">
        <f t="shared" si="30"/>
        <v>0</v>
      </c>
      <c r="D99" s="539">
        <f t="shared" si="32"/>
        <v>0</v>
      </c>
      <c r="E99" s="539">
        <f t="shared" si="32"/>
        <v>0</v>
      </c>
      <c r="F99" s="539">
        <f t="shared" si="32"/>
        <v>0</v>
      </c>
      <c r="G99" s="539">
        <f t="shared" si="32"/>
        <v>0</v>
      </c>
      <c r="H99" s="539">
        <f t="shared" si="32"/>
        <v>0</v>
      </c>
      <c r="I99" s="1"/>
      <c r="J99" s="1"/>
      <c r="K99" s="1"/>
      <c r="L99" s="1"/>
      <c r="M99" s="1"/>
    </row>
    <row r="100" spans="1:20">
      <c r="A100" s="9" t="str">
        <f t="shared" si="28"/>
        <v>Sunflower</v>
      </c>
      <c r="B100" s="539">
        <f t="shared" si="31"/>
        <v>0</v>
      </c>
      <c r="C100" s="539">
        <f t="shared" si="30"/>
        <v>0</v>
      </c>
      <c r="D100" s="539">
        <f t="shared" si="32"/>
        <v>0</v>
      </c>
      <c r="E100" s="539">
        <f t="shared" si="32"/>
        <v>0</v>
      </c>
      <c r="F100" s="539">
        <f t="shared" si="32"/>
        <v>0</v>
      </c>
      <c r="G100" s="539">
        <f t="shared" si="32"/>
        <v>0</v>
      </c>
      <c r="H100" s="539">
        <f t="shared" si="32"/>
        <v>0</v>
      </c>
      <c r="I100" s="1"/>
      <c r="J100" s="1"/>
      <c r="K100" s="1"/>
      <c r="L100" s="1"/>
      <c r="M100" s="1"/>
    </row>
    <row r="101" spans="1:20">
      <c r="A101" s="9" t="str">
        <f t="shared" si="28"/>
        <v>Wheat</v>
      </c>
      <c r="B101" s="539">
        <f>D24*$B$90*0</f>
        <v>0</v>
      </c>
      <c r="C101" s="539">
        <f t="shared" si="30"/>
        <v>0</v>
      </c>
      <c r="D101" s="539">
        <f t="shared" si="32"/>
        <v>0</v>
      </c>
      <c r="E101" s="539">
        <f t="shared" si="32"/>
        <v>0</v>
      </c>
      <c r="F101" s="539">
        <f t="shared" si="32"/>
        <v>0</v>
      </c>
      <c r="G101" s="539">
        <f t="shared" si="32"/>
        <v>0</v>
      </c>
      <c r="H101" s="539">
        <f t="shared" si="32"/>
        <v>0</v>
      </c>
      <c r="I101" s="1"/>
      <c r="J101" s="1"/>
      <c r="K101" s="1"/>
      <c r="L101" s="1"/>
      <c r="M101" s="1"/>
    </row>
    <row r="102" spans="1:20">
      <c r="A102" s="9" t="str">
        <f t="shared" si="28"/>
        <v>Bengal Gram/Channa</v>
      </c>
      <c r="B102" s="539">
        <f>D25*$B$90*0</f>
        <v>0</v>
      </c>
      <c r="C102" s="539">
        <f t="shared" si="30"/>
        <v>0</v>
      </c>
      <c r="D102" s="539">
        <f t="shared" si="32"/>
        <v>0</v>
      </c>
      <c r="E102" s="539">
        <f t="shared" si="32"/>
        <v>0</v>
      </c>
      <c r="F102" s="539">
        <f t="shared" si="32"/>
        <v>0</v>
      </c>
      <c r="G102" s="539">
        <f t="shared" si="32"/>
        <v>0</v>
      </c>
      <c r="H102" s="539">
        <f t="shared" si="32"/>
        <v>0</v>
      </c>
      <c r="I102" s="1"/>
      <c r="J102" s="1"/>
      <c r="K102" s="1"/>
      <c r="L102" s="1"/>
      <c r="M102" s="1"/>
    </row>
    <row r="103" spans="1:20">
      <c r="A103" s="9" t="str">
        <f t="shared" si="28"/>
        <v>Jawar</v>
      </c>
      <c r="B103" s="539">
        <f>D26*$B$90*0</f>
        <v>0</v>
      </c>
      <c r="C103" s="539">
        <f t="shared" si="30"/>
        <v>0</v>
      </c>
      <c r="D103" s="539">
        <f t="shared" si="32"/>
        <v>0</v>
      </c>
      <c r="E103" s="539">
        <f t="shared" si="32"/>
        <v>0</v>
      </c>
      <c r="F103" s="539">
        <f t="shared" si="32"/>
        <v>0</v>
      </c>
      <c r="G103" s="539">
        <f t="shared" si="32"/>
        <v>0</v>
      </c>
      <c r="H103" s="539">
        <f t="shared" si="32"/>
        <v>0</v>
      </c>
      <c r="I103" s="1"/>
      <c r="J103" s="1"/>
      <c r="K103" s="1"/>
      <c r="L103" s="1"/>
      <c r="M103" s="1"/>
    </row>
    <row r="104" spans="1:20">
      <c r="A104" s="9" t="str">
        <f t="shared" si="28"/>
        <v>Maize</v>
      </c>
      <c r="B104" s="539">
        <f>D27*$B$90*0</f>
        <v>0</v>
      </c>
      <c r="C104" s="539">
        <f t="shared" si="30"/>
        <v>0</v>
      </c>
      <c r="D104" s="539">
        <f t="shared" ref="D104:H113" si="33">(C104/C$90)*D$90</f>
        <v>0</v>
      </c>
      <c r="E104" s="539">
        <f t="shared" si="33"/>
        <v>0</v>
      </c>
      <c r="F104" s="539">
        <f t="shared" si="33"/>
        <v>0</v>
      </c>
      <c r="G104" s="539">
        <f t="shared" si="33"/>
        <v>0</v>
      </c>
      <c r="H104" s="539">
        <f t="shared" si="33"/>
        <v>0</v>
      </c>
      <c r="I104" s="1"/>
      <c r="J104" s="1"/>
      <c r="K104" s="1"/>
      <c r="L104" s="1"/>
      <c r="M104" s="1"/>
    </row>
    <row r="105" spans="1:20">
      <c r="A105" s="9" t="str">
        <f t="shared" si="28"/>
        <v>Safflower</v>
      </c>
      <c r="B105" s="539">
        <f>D28*$B$90</f>
        <v>0</v>
      </c>
      <c r="C105" s="539">
        <f t="shared" si="30"/>
        <v>0</v>
      </c>
      <c r="D105" s="539">
        <f t="shared" si="33"/>
        <v>0</v>
      </c>
      <c r="E105" s="539">
        <f t="shared" si="33"/>
        <v>0</v>
      </c>
      <c r="F105" s="539">
        <f t="shared" si="33"/>
        <v>0</v>
      </c>
      <c r="G105" s="539">
        <f t="shared" si="33"/>
        <v>0</v>
      </c>
      <c r="H105" s="539">
        <f t="shared" si="33"/>
        <v>0</v>
      </c>
      <c r="I105" s="1"/>
      <c r="J105" s="1"/>
      <c r="K105" s="1"/>
      <c r="L105" s="1"/>
      <c r="M105" s="1"/>
    </row>
    <row r="106" spans="1:20">
      <c r="A106" s="9">
        <f t="shared" si="28"/>
        <v>0</v>
      </c>
      <c r="B106" s="539">
        <f>D29*$B$90</f>
        <v>0</v>
      </c>
      <c r="C106" s="539">
        <f t="shared" si="30"/>
        <v>0</v>
      </c>
      <c r="D106" s="539">
        <f t="shared" si="33"/>
        <v>0</v>
      </c>
      <c r="E106" s="539">
        <f t="shared" si="33"/>
        <v>0</v>
      </c>
      <c r="F106" s="539">
        <f t="shared" si="33"/>
        <v>0</v>
      </c>
      <c r="G106" s="539">
        <f t="shared" si="33"/>
        <v>0</v>
      </c>
      <c r="H106" s="539">
        <f t="shared" si="33"/>
        <v>0</v>
      </c>
      <c r="I106" s="1"/>
      <c r="J106" s="1"/>
      <c r="K106" s="1"/>
      <c r="L106" s="1"/>
      <c r="M106" s="1"/>
    </row>
    <row r="107" spans="1:20">
      <c r="A107" s="9">
        <f t="shared" si="28"/>
        <v>0</v>
      </c>
      <c r="B107" s="9">
        <f>D30*$B$90</f>
        <v>0</v>
      </c>
      <c r="C107" s="9">
        <f t="shared" si="30"/>
        <v>0</v>
      </c>
      <c r="D107" s="9">
        <f t="shared" si="33"/>
        <v>0</v>
      </c>
      <c r="E107" s="9">
        <f t="shared" si="33"/>
        <v>0</v>
      </c>
      <c r="F107" s="9">
        <f t="shared" si="33"/>
        <v>0</v>
      </c>
      <c r="G107" s="9">
        <f t="shared" si="33"/>
        <v>0</v>
      </c>
      <c r="H107" s="9">
        <f t="shared" si="33"/>
        <v>0</v>
      </c>
    </row>
    <row r="108" spans="1:20">
      <c r="A108" s="9">
        <f t="shared" si="28"/>
        <v>0</v>
      </c>
      <c r="B108" s="9">
        <f>D31*$B$90</f>
        <v>0</v>
      </c>
      <c r="C108" s="9">
        <f t="shared" si="30"/>
        <v>0</v>
      </c>
      <c r="D108" s="9">
        <f t="shared" si="33"/>
        <v>0</v>
      </c>
      <c r="E108" s="9">
        <f t="shared" si="33"/>
        <v>0</v>
      </c>
      <c r="F108" s="9">
        <f t="shared" si="33"/>
        <v>0</v>
      </c>
      <c r="G108" s="9">
        <f t="shared" si="33"/>
        <v>0</v>
      </c>
      <c r="H108" s="9">
        <f t="shared" si="33"/>
        <v>0</v>
      </c>
    </row>
    <row r="109" spans="1:20">
      <c r="A109" s="9" t="str">
        <f t="shared" si="28"/>
        <v>Groundnut</v>
      </c>
      <c r="B109" s="9">
        <f>D33*$B$90</f>
        <v>0</v>
      </c>
      <c r="C109" s="9">
        <f t="shared" si="30"/>
        <v>0</v>
      </c>
      <c r="D109" s="9">
        <f t="shared" si="33"/>
        <v>0</v>
      </c>
      <c r="E109" s="9">
        <f t="shared" si="33"/>
        <v>0</v>
      </c>
      <c r="F109" s="9">
        <f t="shared" si="33"/>
        <v>0</v>
      </c>
      <c r="G109" s="9">
        <f t="shared" si="33"/>
        <v>0</v>
      </c>
      <c r="H109" s="9">
        <f t="shared" si="33"/>
        <v>0</v>
      </c>
    </row>
    <row r="110" spans="1:20">
      <c r="A110" s="9">
        <f t="shared" si="28"/>
        <v>0</v>
      </c>
      <c r="B110" s="9">
        <f>D34*$B$90</f>
        <v>0</v>
      </c>
      <c r="C110" s="9">
        <f t="shared" si="30"/>
        <v>0</v>
      </c>
      <c r="D110" s="9">
        <f t="shared" si="33"/>
        <v>0</v>
      </c>
      <c r="E110" s="9">
        <f t="shared" si="33"/>
        <v>0</v>
      </c>
      <c r="F110" s="9">
        <f t="shared" si="33"/>
        <v>0</v>
      </c>
      <c r="G110" s="9">
        <f t="shared" si="33"/>
        <v>0</v>
      </c>
      <c r="H110" s="9">
        <f t="shared" si="33"/>
        <v>0</v>
      </c>
    </row>
    <row r="111" spans="1:20">
      <c r="A111" s="9">
        <f t="shared" si="28"/>
        <v>0</v>
      </c>
      <c r="B111" s="9">
        <f>D34*$B$90</f>
        <v>0</v>
      </c>
      <c r="C111" s="9">
        <f t="shared" si="30"/>
        <v>0</v>
      </c>
      <c r="D111" s="9">
        <f t="shared" si="33"/>
        <v>0</v>
      </c>
      <c r="E111" s="9">
        <f t="shared" si="33"/>
        <v>0</v>
      </c>
      <c r="F111" s="9">
        <f t="shared" si="33"/>
        <v>0</v>
      </c>
      <c r="G111" s="9">
        <f t="shared" si="33"/>
        <v>0</v>
      </c>
      <c r="H111" s="9">
        <f t="shared" si="33"/>
        <v>0</v>
      </c>
    </row>
    <row r="112" spans="1:20">
      <c r="A112" s="9">
        <f t="shared" si="28"/>
        <v>0</v>
      </c>
      <c r="B112" s="9">
        <f>D36*$B$90</f>
        <v>0</v>
      </c>
      <c r="C112" s="9">
        <f t="shared" si="30"/>
        <v>0</v>
      </c>
      <c r="D112" s="9">
        <f t="shared" si="33"/>
        <v>0</v>
      </c>
      <c r="E112" s="9">
        <f t="shared" si="33"/>
        <v>0</v>
      </c>
      <c r="F112" s="9">
        <f t="shared" si="33"/>
        <v>0</v>
      </c>
      <c r="G112" s="9">
        <f t="shared" si="33"/>
        <v>0</v>
      </c>
      <c r="H112" s="9">
        <f t="shared" si="33"/>
        <v>0</v>
      </c>
    </row>
    <row r="113" spans="1:19">
      <c r="A113" s="9"/>
      <c r="B113" s="9">
        <f>D37*$B$90</f>
        <v>0</v>
      </c>
      <c r="C113" s="9">
        <f t="shared" si="30"/>
        <v>0</v>
      </c>
      <c r="D113" s="9">
        <f t="shared" si="33"/>
        <v>0</v>
      </c>
      <c r="E113" s="9">
        <f t="shared" si="33"/>
        <v>0</v>
      </c>
      <c r="F113" s="9">
        <f t="shared" si="33"/>
        <v>0</v>
      </c>
      <c r="G113" s="9">
        <f t="shared" si="33"/>
        <v>0</v>
      </c>
      <c r="H113" s="9">
        <f t="shared" si="33"/>
        <v>0</v>
      </c>
    </row>
    <row r="115" spans="1:19">
      <c r="C115" s="4"/>
      <c r="D115" s="6"/>
      <c r="E115" s="6"/>
      <c r="F115" s="6"/>
      <c r="G115" s="6"/>
      <c r="H115" s="6"/>
      <c r="I115" s="6"/>
      <c r="J115" s="6"/>
      <c r="K115" s="6"/>
      <c r="L115" s="6"/>
      <c r="M115" s="6"/>
      <c r="N115" s="6"/>
      <c r="O115" s="6"/>
      <c r="P115" s="6"/>
      <c r="Q115" s="6"/>
      <c r="R115" s="6"/>
      <c r="S115" s="6"/>
    </row>
    <row r="116" spans="1:19">
      <c r="A116" t="s">
        <v>540</v>
      </c>
      <c r="C116" s="12"/>
      <c r="D116" s="12"/>
      <c r="E116" s="12"/>
      <c r="F116" s="12"/>
      <c r="G116" s="12"/>
      <c r="H116" s="12"/>
      <c r="I116" s="12"/>
      <c r="J116" s="12"/>
      <c r="K116" s="12"/>
      <c r="L116" s="12"/>
      <c r="M116" s="12"/>
      <c r="N116" s="12"/>
      <c r="O116" s="12"/>
      <c r="P116" s="12"/>
      <c r="Q116" s="12"/>
      <c r="R116" s="12"/>
      <c r="S116" s="12"/>
    </row>
    <row r="117" spans="1:19">
      <c r="A117">
        <v>1</v>
      </c>
      <c r="B117" t="s">
        <v>570</v>
      </c>
    </row>
    <row r="118" spans="1:19">
      <c r="A118">
        <v>2</v>
      </c>
      <c r="B118" t="s">
        <v>571</v>
      </c>
    </row>
    <row r="119" spans="1:19">
      <c r="A119">
        <v>3</v>
      </c>
      <c r="B119" t="s">
        <v>543</v>
      </c>
    </row>
  </sheetData>
  <mergeCells count="12">
    <mergeCell ref="A1:H1"/>
    <mergeCell ref="A3:B3"/>
    <mergeCell ref="A90:A91"/>
    <mergeCell ref="A11:H11"/>
    <mergeCell ref="A37:H37"/>
    <mergeCell ref="A14:A22"/>
    <mergeCell ref="A39:H39"/>
    <mergeCell ref="A40:A41"/>
    <mergeCell ref="A64:H64"/>
    <mergeCell ref="A65:A66"/>
    <mergeCell ref="A89:H89"/>
    <mergeCell ref="A24:A31"/>
  </mergeCells>
  <pageMargins left="0.25" right="0.25" top="1" bottom="0.75" header="0.3" footer="0.3"/>
  <pageSetup scale="83" orientation="landscape" r:id="rId1"/>
  <rowBreaks count="3" manualBreakCount="3">
    <brk id="37" max="7" man="1"/>
    <brk id="63" max="7" man="1"/>
    <brk id="88" max="7" man="1"/>
  </rowBreaks>
  <colBreaks count="1" manualBreakCount="1">
    <brk id="13" max="113"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36"/>
  <sheetViews>
    <sheetView topLeftCell="A16" workbookViewId="0">
      <selection activeCell="T18" sqref="T18"/>
    </sheetView>
  </sheetViews>
  <sheetFormatPr defaultRowHeight="15"/>
  <cols>
    <col min="2" max="2" width="21.42578125" customWidth="1"/>
    <col min="3" max="4" width="0" hidden="1" customWidth="1"/>
    <col min="7" max="8" width="9.85546875" bestFit="1" customWidth="1"/>
    <col min="9" max="9" width="2.28515625" customWidth="1"/>
    <col min="10" max="12" width="0" hidden="1" customWidth="1"/>
    <col min="13" max="13" width="7.140625" hidden="1" customWidth="1"/>
    <col min="14" max="14" width="2.7109375" hidden="1" customWidth="1"/>
    <col min="17" max="17" width="9.85546875" bestFit="1" customWidth="1"/>
    <col min="18" max="19" width="0" hidden="1" customWidth="1"/>
    <col min="20" max="20" width="9.85546875" bestFit="1" customWidth="1"/>
  </cols>
  <sheetData>
    <row r="1" spans="2:28">
      <c r="E1">
        <f>+E18/300</f>
        <v>2.7245332800000011</v>
      </c>
      <c r="F1">
        <f>+F18/300</f>
        <v>23.833333333333332</v>
      </c>
    </row>
    <row r="2" spans="2:28">
      <c r="E2" s="729" t="s">
        <v>1627</v>
      </c>
      <c r="F2" s="729"/>
      <c r="G2" s="729"/>
      <c r="N2" s="729" t="s">
        <v>1628</v>
      </c>
      <c r="O2" s="729"/>
      <c r="P2" s="729"/>
      <c r="Q2" s="729"/>
      <c r="R2" s="729"/>
      <c r="S2" s="729"/>
    </row>
    <row r="3" spans="2:28">
      <c r="E3" t="s">
        <v>1632</v>
      </c>
      <c r="G3" t="s">
        <v>153</v>
      </c>
      <c r="H3" t="s">
        <v>705</v>
      </c>
      <c r="J3" t="s">
        <v>1633</v>
      </c>
      <c r="L3" t="s">
        <v>153</v>
      </c>
      <c r="M3" t="s">
        <v>705</v>
      </c>
      <c r="N3" s="288"/>
      <c r="O3" s="4">
        <v>0.97</v>
      </c>
      <c r="P3" t="s">
        <v>1634</v>
      </c>
      <c r="Q3" t="s">
        <v>153</v>
      </c>
      <c r="R3" t="s">
        <v>705</v>
      </c>
      <c r="V3" t="s">
        <v>1630</v>
      </c>
    </row>
    <row r="4" spans="2:28">
      <c r="B4" s="412" t="s">
        <v>168</v>
      </c>
      <c r="C4">
        <v>14000</v>
      </c>
      <c r="D4">
        <f>+'[14]12.Facility 1 - Trading'!$C$180</f>
        <v>7150</v>
      </c>
      <c r="E4">
        <f>+'13.Facility 2 - Besan'!J11*100/1000</f>
        <v>0</v>
      </c>
      <c r="F4">
        <v>1200</v>
      </c>
      <c r="G4">
        <f>+'13.Facility 2 - Besan'!C226*10</f>
        <v>50000</v>
      </c>
      <c r="H4">
        <f>+F4*G4</f>
        <v>60000000</v>
      </c>
      <c r="J4">
        <v>280</v>
      </c>
      <c r="K4">
        <f>+E4-P4</f>
        <v>-1164</v>
      </c>
      <c r="L4">
        <v>1000</v>
      </c>
      <c r="M4">
        <f>+J4*L4</f>
        <v>280000</v>
      </c>
      <c r="N4" s="288"/>
      <c r="O4" s="4">
        <v>0.97</v>
      </c>
      <c r="P4">
        <f>+F4*O4</f>
        <v>1164</v>
      </c>
      <c r="Q4">
        <f>+'13.Facility 2 - Besan'!C180*10</f>
        <v>22500</v>
      </c>
      <c r="R4">
        <f>+P4*Q4</f>
        <v>26190000</v>
      </c>
      <c r="S4" s="4">
        <v>0.97</v>
      </c>
      <c r="T4">
        <f>+P4*Q4</f>
        <v>26190000</v>
      </c>
      <c r="V4">
        <f>+F4/20</f>
        <v>60</v>
      </c>
      <c r="Z4">
        <f>+E4*O4</f>
        <v>0</v>
      </c>
      <c r="AB4">
        <f>+F4*O4</f>
        <v>1164</v>
      </c>
    </row>
    <row r="5" spans="2:28">
      <c r="B5" s="412" t="s">
        <v>481</v>
      </c>
      <c r="C5">
        <v>3000</v>
      </c>
      <c r="D5">
        <f>+'[14]12.Facility 1 - Trading'!$C$181</f>
        <v>6520</v>
      </c>
      <c r="E5">
        <f>+'13.Facility 2 - Besan'!J12*100/1000</f>
        <v>817.35998400000028</v>
      </c>
      <c r="F5">
        <v>650</v>
      </c>
      <c r="G5" t="e">
        <f>+'13.Facility 2 - Besan'!#REF!*10</f>
        <v>#REF!</v>
      </c>
      <c r="H5" t="e">
        <f t="shared" ref="H5:H16" si="0">+F5*G5</f>
        <v>#REF!</v>
      </c>
      <c r="J5">
        <v>60</v>
      </c>
      <c r="K5">
        <f t="shared" ref="K5:K16" si="1">+E5-P5</f>
        <v>187.35998400000028</v>
      </c>
      <c r="L5">
        <v>1000</v>
      </c>
      <c r="M5">
        <f t="shared" ref="M5:M16" si="2">+J5*L5</f>
        <v>60000</v>
      </c>
      <c r="N5" s="288"/>
      <c r="O5" s="4">
        <v>0.97</v>
      </c>
      <c r="P5">
        <v>630</v>
      </c>
      <c r="Q5" t="e">
        <f>+'13.Facility 2 - Besan'!#REF!*10</f>
        <v>#REF!</v>
      </c>
      <c r="R5" t="e">
        <f t="shared" ref="R5:R16" si="3">+P5*Q5</f>
        <v>#REF!</v>
      </c>
      <c r="S5" s="4">
        <v>0.97</v>
      </c>
      <c r="T5" t="e">
        <f t="shared" ref="T5:T17" si="4">+P5*Q5</f>
        <v>#REF!</v>
      </c>
      <c r="V5">
        <f t="shared" ref="V5:V16" si="5">+F5/20</f>
        <v>32.5</v>
      </c>
      <c r="Z5">
        <f t="shared" ref="Z5:Z16" si="6">+E5*O5</f>
        <v>792.8391844800002</v>
      </c>
      <c r="AB5">
        <f t="shared" ref="AB5:AB16" si="7">+F5*O5</f>
        <v>630.5</v>
      </c>
    </row>
    <row r="6" spans="2:28" hidden="1">
      <c r="B6" s="412" t="s">
        <v>480</v>
      </c>
      <c r="C6">
        <v>0</v>
      </c>
      <c r="E6">
        <f t="shared" ref="E6:E12" si="8">+C6*100/1000</f>
        <v>0</v>
      </c>
      <c r="F6">
        <f t="shared" ref="F6:F12" si="9">+E6</f>
        <v>0</v>
      </c>
      <c r="H6">
        <f t="shared" si="0"/>
        <v>0</v>
      </c>
      <c r="J6">
        <f>+E6*20%</f>
        <v>0</v>
      </c>
      <c r="K6">
        <f t="shared" si="1"/>
        <v>0</v>
      </c>
      <c r="L6">
        <v>1000</v>
      </c>
      <c r="M6">
        <f t="shared" si="2"/>
        <v>0</v>
      </c>
      <c r="N6" s="288"/>
      <c r="O6" s="4">
        <v>0.97</v>
      </c>
      <c r="P6">
        <f t="shared" ref="P6:P12" si="10">+F6*O6</f>
        <v>0</v>
      </c>
      <c r="Q6">
        <f t="shared" ref="Q6:Q12" si="11">+D6*10</f>
        <v>0</v>
      </c>
      <c r="R6">
        <f t="shared" si="3"/>
        <v>0</v>
      </c>
      <c r="S6" s="4">
        <v>0.97</v>
      </c>
      <c r="T6">
        <f t="shared" si="4"/>
        <v>0</v>
      </c>
      <c r="V6">
        <f t="shared" si="5"/>
        <v>0</v>
      </c>
      <c r="Z6">
        <f t="shared" si="6"/>
        <v>0</v>
      </c>
      <c r="AB6">
        <f t="shared" si="7"/>
        <v>0</v>
      </c>
    </row>
    <row r="7" spans="2:28" hidden="1">
      <c r="B7" s="412" t="s">
        <v>478</v>
      </c>
      <c r="C7">
        <v>0</v>
      </c>
      <c r="E7">
        <f t="shared" si="8"/>
        <v>0</v>
      </c>
      <c r="F7">
        <f t="shared" si="9"/>
        <v>0</v>
      </c>
      <c r="H7">
        <f t="shared" si="0"/>
        <v>0</v>
      </c>
      <c r="J7">
        <f>+E7*20%</f>
        <v>0</v>
      </c>
      <c r="K7">
        <f t="shared" si="1"/>
        <v>0</v>
      </c>
      <c r="L7">
        <v>1000</v>
      </c>
      <c r="M7">
        <f t="shared" si="2"/>
        <v>0</v>
      </c>
      <c r="N7" s="288"/>
      <c r="O7" s="4">
        <v>0.97</v>
      </c>
      <c r="P7">
        <f t="shared" si="10"/>
        <v>0</v>
      </c>
      <c r="Q7">
        <f t="shared" si="11"/>
        <v>0</v>
      </c>
      <c r="R7">
        <f t="shared" si="3"/>
        <v>0</v>
      </c>
      <c r="S7" s="4">
        <v>0.97</v>
      </c>
      <c r="T7">
        <f t="shared" si="4"/>
        <v>0</v>
      </c>
      <c r="V7">
        <f t="shared" si="5"/>
        <v>0</v>
      </c>
      <c r="Z7">
        <f t="shared" si="6"/>
        <v>0</v>
      </c>
      <c r="AB7">
        <f t="shared" si="7"/>
        <v>0</v>
      </c>
    </row>
    <row r="8" spans="2:28">
      <c r="B8" s="412" t="s">
        <v>400</v>
      </c>
      <c r="C8">
        <v>20000</v>
      </c>
      <c r="D8">
        <f>+'[14]12.Facility 1 - Trading'!$C$184</f>
        <v>1520</v>
      </c>
      <c r="E8">
        <f>+'13.Facility 2 - Besan'!J15*100/1000</f>
        <v>0</v>
      </c>
      <c r="F8">
        <v>1500</v>
      </c>
      <c r="G8" t="e">
        <f>+'13.Facility 2 - Besan'!#REF!*10</f>
        <v>#REF!</v>
      </c>
      <c r="H8" t="e">
        <f t="shared" si="0"/>
        <v>#REF!</v>
      </c>
      <c r="J8">
        <v>400</v>
      </c>
      <c r="K8">
        <f t="shared" si="1"/>
        <v>-1455</v>
      </c>
      <c r="L8">
        <v>1000</v>
      </c>
      <c r="M8">
        <f t="shared" si="2"/>
        <v>400000</v>
      </c>
      <c r="N8" s="288"/>
      <c r="O8" s="4">
        <v>0.97</v>
      </c>
      <c r="P8">
        <f t="shared" si="10"/>
        <v>1455</v>
      </c>
      <c r="Q8">
        <f>+'13.Facility 2 - Besan'!C181*10</f>
        <v>18000</v>
      </c>
      <c r="R8">
        <f t="shared" si="3"/>
        <v>26190000</v>
      </c>
      <c r="S8" s="4">
        <v>0.97</v>
      </c>
      <c r="T8">
        <f t="shared" si="4"/>
        <v>26190000</v>
      </c>
      <c r="V8">
        <f t="shared" si="5"/>
        <v>75</v>
      </c>
      <c r="Z8">
        <f t="shared" si="6"/>
        <v>0</v>
      </c>
      <c r="AB8">
        <f t="shared" si="7"/>
        <v>1455</v>
      </c>
    </row>
    <row r="9" spans="2:28" hidden="1">
      <c r="B9" s="412" t="s">
        <v>479</v>
      </c>
      <c r="C9">
        <v>0</v>
      </c>
      <c r="E9">
        <f t="shared" si="8"/>
        <v>0</v>
      </c>
      <c r="F9">
        <f t="shared" si="9"/>
        <v>0</v>
      </c>
      <c r="H9">
        <f t="shared" si="0"/>
        <v>0</v>
      </c>
      <c r="J9">
        <f>+E9*20%</f>
        <v>0</v>
      </c>
      <c r="K9">
        <f t="shared" si="1"/>
        <v>0</v>
      </c>
      <c r="L9">
        <v>1000</v>
      </c>
      <c r="M9">
        <f t="shared" si="2"/>
        <v>0</v>
      </c>
      <c r="N9" s="288"/>
      <c r="O9" s="4">
        <v>0.97</v>
      </c>
      <c r="P9">
        <f t="shared" si="10"/>
        <v>0</v>
      </c>
      <c r="Q9">
        <f t="shared" si="11"/>
        <v>0</v>
      </c>
      <c r="R9">
        <f t="shared" si="3"/>
        <v>0</v>
      </c>
      <c r="S9" s="4">
        <v>0.97</v>
      </c>
      <c r="T9">
        <f t="shared" si="4"/>
        <v>0</v>
      </c>
      <c r="V9">
        <f t="shared" si="5"/>
        <v>0</v>
      </c>
      <c r="Z9">
        <f t="shared" si="6"/>
        <v>0</v>
      </c>
      <c r="AB9">
        <f t="shared" si="7"/>
        <v>0</v>
      </c>
    </row>
    <row r="10" spans="2:28">
      <c r="B10" s="412" t="s">
        <v>472</v>
      </c>
      <c r="C10">
        <v>650</v>
      </c>
      <c r="D10">
        <f>+'[14]12.Facility 1 - Trading'!$C$186</f>
        <v>2000</v>
      </c>
      <c r="E10">
        <f>+'13.Facility 2 - Besan'!J17*100/1000</f>
        <v>0</v>
      </c>
      <c r="F10">
        <v>800</v>
      </c>
      <c r="G10" t="e">
        <f>+'13.Facility 2 - Besan'!#REF!*10</f>
        <v>#REF!</v>
      </c>
      <c r="H10" t="e">
        <f t="shared" si="0"/>
        <v>#REF!</v>
      </c>
      <c r="J10">
        <v>15</v>
      </c>
      <c r="K10">
        <f t="shared" si="1"/>
        <v>-776</v>
      </c>
      <c r="L10">
        <v>1000</v>
      </c>
      <c r="M10">
        <f t="shared" si="2"/>
        <v>15000</v>
      </c>
      <c r="N10" s="288"/>
      <c r="O10" s="4">
        <v>0.97</v>
      </c>
      <c r="P10">
        <f>+F10*O10</f>
        <v>776</v>
      </c>
      <c r="Q10" t="e">
        <f>+'13.Facility 2 - Besan'!#REF!*10</f>
        <v>#REF!</v>
      </c>
      <c r="R10" t="e">
        <f t="shared" si="3"/>
        <v>#REF!</v>
      </c>
      <c r="S10" s="4">
        <v>0.97</v>
      </c>
      <c r="T10" t="e">
        <f t="shared" si="4"/>
        <v>#REF!</v>
      </c>
      <c r="V10">
        <f t="shared" si="5"/>
        <v>40</v>
      </c>
      <c r="Z10">
        <f t="shared" si="6"/>
        <v>0</v>
      </c>
      <c r="AB10">
        <f t="shared" si="7"/>
        <v>776</v>
      </c>
    </row>
    <row r="11" spans="2:28" hidden="1">
      <c r="B11" s="412" t="s">
        <v>404</v>
      </c>
      <c r="C11">
        <v>0</v>
      </c>
      <c r="E11">
        <f t="shared" si="8"/>
        <v>0</v>
      </c>
      <c r="F11">
        <f t="shared" si="9"/>
        <v>0</v>
      </c>
      <c r="H11">
        <f t="shared" si="0"/>
        <v>0</v>
      </c>
      <c r="J11">
        <f>+E11*20%</f>
        <v>0</v>
      </c>
      <c r="K11">
        <f t="shared" si="1"/>
        <v>0</v>
      </c>
      <c r="L11">
        <v>1000</v>
      </c>
      <c r="M11">
        <f t="shared" si="2"/>
        <v>0</v>
      </c>
      <c r="N11" s="288"/>
      <c r="O11" s="4">
        <v>0.97</v>
      </c>
      <c r="P11">
        <f t="shared" si="10"/>
        <v>0</v>
      </c>
      <c r="Q11">
        <f t="shared" si="11"/>
        <v>0</v>
      </c>
      <c r="R11">
        <f t="shared" si="3"/>
        <v>0</v>
      </c>
      <c r="S11" s="4">
        <v>0.97</v>
      </c>
      <c r="T11">
        <f t="shared" si="4"/>
        <v>0</v>
      </c>
      <c r="V11">
        <f t="shared" si="5"/>
        <v>0</v>
      </c>
      <c r="Z11">
        <f t="shared" si="6"/>
        <v>0</v>
      </c>
      <c r="AB11">
        <f t="shared" si="7"/>
        <v>0</v>
      </c>
    </row>
    <row r="12" spans="2:28" hidden="1">
      <c r="B12" s="412" t="s">
        <v>482</v>
      </c>
      <c r="C12">
        <v>0</v>
      </c>
      <c r="E12">
        <f t="shared" si="8"/>
        <v>0</v>
      </c>
      <c r="F12">
        <f t="shared" si="9"/>
        <v>0</v>
      </c>
      <c r="H12">
        <f t="shared" si="0"/>
        <v>0</v>
      </c>
      <c r="J12">
        <f>+E12*20%</f>
        <v>0</v>
      </c>
      <c r="K12">
        <f t="shared" si="1"/>
        <v>0</v>
      </c>
      <c r="L12">
        <v>1000</v>
      </c>
      <c r="M12">
        <f t="shared" si="2"/>
        <v>0</v>
      </c>
      <c r="N12" s="288"/>
      <c r="O12" s="4">
        <v>0.97</v>
      </c>
      <c r="P12">
        <f t="shared" si="10"/>
        <v>0</v>
      </c>
      <c r="Q12">
        <f t="shared" si="11"/>
        <v>0</v>
      </c>
      <c r="R12">
        <f t="shared" si="3"/>
        <v>0</v>
      </c>
      <c r="S12" s="4">
        <v>0.97</v>
      </c>
      <c r="T12">
        <f t="shared" si="4"/>
        <v>0</v>
      </c>
      <c r="V12">
        <f t="shared" si="5"/>
        <v>0</v>
      </c>
      <c r="Z12">
        <f t="shared" si="6"/>
        <v>0</v>
      </c>
      <c r="AB12">
        <f t="shared" si="7"/>
        <v>0</v>
      </c>
    </row>
    <row r="13" spans="2:28">
      <c r="B13" s="412" t="s">
        <v>402</v>
      </c>
      <c r="C13">
        <v>650</v>
      </c>
      <c r="D13">
        <f>+'[14]12.Facility 1 - Trading'!$C$189</f>
        <v>2300</v>
      </c>
      <c r="E13">
        <f>+'13.Facility 2 - Besan'!J20*100/1000</f>
        <v>0</v>
      </c>
      <c r="F13">
        <v>2500</v>
      </c>
      <c r="G13" t="e">
        <f>+'13.Facility 2 - Besan'!#REF!*10</f>
        <v>#REF!</v>
      </c>
      <c r="H13" t="e">
        <f t="shared" si="0"/>
        <v>#REF!</v>
      </c>
      <c r="J13">
        <v>15</v>
      </c>
      <c r="K13">
        <f t="shared" si="1"/>
        <v>-2425</v>
      </c>
      <c r="L13">
        <v>1000</v>
      </c>
      <c r="M13">
        <f t="shared" si="2"/>
        <v>15000</v>
      </c>
      <c r="N13" s="288"/>
      <c r="O13" s="4">
        <v>0.97</v>
      </c>
      <c r="P13">
        <f>+F13*O13</f>
        <v>2425</v>
      </c>
      <c r="Q13" t="e">
        <f>+'13.Facility 2 - Besan'!#REF!*10</f>
        <v>#REF!</v>
      </c>
      <c r="R13" t="e">
        <f t="shared" si="3"/>
        <v>#REF!</v>
      </c>
      <c r="S13" s="4">
        <v>0.97</v>
      </c>
      <c r="T13" t="e">
        <f t="shared" si="4"/>
        <v>#REF!</v>
      </c>
      <c r="V13">
        <f t="shared" si="5"/>
        <v>125</v>
      </c>
      <c r="Z13">
        <f t="shared" si="6"/>
        <v>0</v>
      </c>
      <c r="AB13">
        <f t="shared" si="7"/>
        <v>2425</v>
      </c>
    </row>
    <row r="14" spans="2:28">
      <c r="B14" s="412" t="s">
        <v>403</v>
      </c>
      <c r="C14">
        <v>2000</v>
      </c>
      <c r="D14">
        <f>+'[14]12.Facility 1 - Trading'!$C$190</f>
        <v>5280</v>
      </c>
      <c r="E14">
        <f>+'13.Facility 2 - Besan'!J21*100/1000</f>
        <v>0</v>
      </c>
      <c r="F14">
        <v>0</v>
      </c>
      <c r="H14">
        <f t="shared" si="0"/>
        <v>0</v>
      </c>
      <c r="J14">
        <v>50</v>
      </c>
      <c r="K14">
        <f t="shared" si="1"/>
        <v>0</v>
      </c>
      <c r="L14">
        <v>1000</v>
      </c>
      <c r="M14">
        <f t="shared" si="2"/>
        <v>50000</v>
      </c>
      <c r="N14" s="288"/>
      <c r="O14" s="4">
        <v>0.97</v>
      </c>
      <c r="P14">
        <v>0</v>
      </c>
      <c r="R14">
        <f t="shared" si="3"/>
        <v>0</v>
      </c>
      <c r="S14" s="4">
        <v>0.97</v>
      </c>
      <c r="T14">
        <f t="shared" si="4"/>
        <v>0</v>
      </c>
      <c r="V14">
        <f t="shared" si="5"/>
        <v>0</v>
      </c>
      <c r="Z14">
        <f t="shared" si="6"/>
        <v>0</v>
      </c>
      <c r="AB14">
        <f t="shared" si="7"/>
        <v>0</v>
      </c>
    </row>
    <row r="15" spans="2:28">
      <c r="B15" s="412" t="s">
        <v>404</v>
      </c>
      <c r="C15">
        <v>150</v>
      </c>
      <c r="D15">
        <f>+'[14]12.Facility 1 - Trading'!$C$191</f>
        <v>2250</v>
      </c>
      <c r="E15">
        <f>+'13.Facility 2 - Besan'!J22*100/1000</f>
        <v>0</v>
      </c>
      <c r="F15">
        <v>500</v>
      </c>
      <c r="G15" t="e">
        <f>+'13.Facility 2 - Besan'!#REF!*10</f>
        <v>#REF!</v>
      </c>
      <c r="H15" t="e">
        <f t="shared" si="0"/>
        <v>#REF!</v>
      </c>
      <c r="J15">
        <v>5</v>
      </c>
      <c r="K15">
        <f t="shared" si="1"/>
        <v>-485</v>
      </c>
      <c r="L15">
        <v>1000</v>
      </c>
      <c r="M15">
        <f t="shared" si="2"/>
        <v>5000</v>
      </c>
      <c r="N15" s="288"/>
      <c r="O15" s="4">
        <v>0.97</v>
      </c>
      <c r="P15">
        <f>+F15*O15</f>
        <v>485</v>
      </c>
      <c r="Q15" t="e">
        <f>+'13.Facility 2 - Besan'!#REF!*10</f>
        <v>#REF!</v>
      </c>
      <c r="R15" t="e">
        <f t="shared" si="3"/>
        <v>#REF!</v>
      </c>
      <c r="S15" s="4">
        <v>0.97</v>
      </c>
      <c r="T15" t="e">
        <f t="shared" si="4"/>
        <v>#REF!</v>
      </c>
      <c r="V15">
        <f t="shared" si="5"/>
        <v>25</v>
      </c>
      <c r="Z15">
        <f t="shared" si="6"/>
        <v>0</v>
      </c>
      <c r="AB15">
        <f t="shared" si="7"/>
        <v>485</v>
      </c>
    </row>
    <row r="16" spans="2:28">
      <c r="B16" s="412" t="s">
        <v>400</v>
      </c>
      <c r="C16">
        <v>3000</v>
      </c>
      <c r="D16">
        <f>+'[14]12.Facility 1 - Trading'!$C$192</f>
        <v>1540</v>
      </c>
      <c r="E16">
        <f>+'13.Facility 2 - Besan'!J23*100/1000</f>
        <v>0</v>
      </c>
      <c r="F16">
        <v>0</v>
      </c>
      <c r="G16">
        <f>+'13.Facility 2 - Besan'!C227*10</f>
        <v>14000</v>
      </c>
      <c r="H16">
        <f t="shared" si="0"/>
        <v>0</v>
      </c>
      <c r="J16">
        <v>70</v>
      </c>
      <c r="K16">
        <f t="shared" si="1"/>
        <v>0</v>
      </c>
      <c r="L16">
        <v>1000</v>
      </c>
      <c r="M16">
        <f t="shared" si="2"/>
        <v>70000</v>
      </c>
      <c r="N16" s="288"/>
      <c r="O16" s="4">
        <v>0.97</v>
      </c>
      <c r="P16">
        <v>0</v>
      </c>
      <c r="Q16">
        <f>+'13.Facility 2 - Besan'!C182*10</f>
        <v>15400</v>
      </c>
      <c r="R16">
        <f t="shared" si="3"/>
        <v>0</v>
      </c>
      <c r="S16" s="4">
        <v>0.97</v>
      </c>
      <c r="T16">
        <f t="shared" si="4"/>
        <v>0</v>
      </c>
      <c r="V16">
        <f t="shared" si="5"/>
        <v>0</v>
      </c>
      <c r="Z16">
        <f t="shared" si="6"/>
        <v>0</v>
      </c>
      <c r="AB16">
        <f t="shared" si="7"/>
        <v>0</v>
      </c>
    </row>
    <row r="17" spans="2:23">
      <c r="B17" s="68"/>
      <c r="N17" s="288"/>
      <c r="O17" s="4"/>
      <c r="S17" s="4"/>
      <c r="T17">
        <f t="shared" si="4"/>
        <v>0</v>
      </c>
    </row>
    <row r="18" spans="2:23">
      <c r="C18">
        <f>SUM(C4:C16)</f>
        <v>43450</v>
      </c>
      <c r="E18">
        <f>SUM(E4:E16)</f>
        <v>817.35998400000028</v>
      </c>
      <c r="F18">
        <f>SUM(F4:F17)</f>
        <v>7150</v>
      </c>
      <c r="H18" s="288" t="e">
        <f>+H4+H5+H8+H10+H13+H14+H15+H16</f>
        <v>#REF!</v>
      </c>
      <c r="J18">
        <f>SUM(J4:J16)</f>
        <v>895</v>
      </c>
      <c r="L18">
        <v>1000</v>
      </c>
      <c r="M18" s="288">
        <f>SUM(M4:M16)</f>
        <v>895000</v>
      </c>
      <c r="N18" s="288"/>
      <c r="P18">
        <f>SUM(P4:P16)</f>
        <v>6935</v>
      </c>
      <c r="R18" t="e">
        <f>SUM(R4:R16)</f>
        <v>#REF!</v>
      </c>
      <c r="T18" s="288" t="e">
        <f>+T4+T5+T8+T10+T13+T14+T15+T16+T17</f>
        <v>#REF!</v>
      </c>
    </row>
    <row r="19" spans="2:23">
      <c r="M19" s="288"/>
    </row>
    <row r="21" spans="2:23">
      <c r="B21" t="str">
        <f>+'[14]12.Facility 1 - Trading'!$A$287</f>
        <v>Daily Lobour</v>
      </c>
      <c r="E21">
        <f>+'[14]12.Facility 1 - Trading'!$B$287</f>
        <v>5</v>
      </c>
      <c r="F21">
        <f>+'[14]12.Facility 1 - Trading'!$C$287</f>
        <v>300</v>
      </c>
      <c r="G21">
        <f>+E21*F21*'[14]12.Facility 1 - Trading'!$B$8</f>
        <v>300000</v>
      </c>
    </row>
    <row r="22" spans="2:23">
      <c r="B22" t="str">
        <f>+'[14]12.Facility 1 - Trading'!$A$288</f>
        <v>Electricity Charges</v>
      </c>
      <c r="E22">
        <f>+'[14]12.Facility 1 - Trading'!$B$288</f>
        <v>240</v>
      </c>
      <c r="F22">
        <f>+'[14]12.Facility 1 - Trading'!$C$288</f>
        <v>9</v>
      </c>
      <c r="G22">
        <f>+E22*F22*'[14]12.Facility 1 - Trading'!$B$8</f>
        <v>432000</v>
      </c>
    </row>
    <row r="23" spans="2:23">
      <c r="B23" t="str">
        <f>+'[14]12.Facility 1 - Trading'!$A$289</f>
        <v>Gunny Bags/100 Kg</v>
      </c>
      <c r="E23">
        <f>+P18</f>
        <v>6935</v>
      </c>
      <c r="F23">
        <f>+'[14]12.Facility 1 - Trading'!$C$289*20</f>
        <v>600</v>
      </c>
      <c r="G23">
        <f>+E23*F23</f>
        <v>4161000</v>
      </c>
      <c r="W23">
        <v>3500</v>
      </c>
    </row>
    <row r="24" spans="2:23">
      <c r="B24" t="str">
        <f>+'[14]12.Facility 1 - Trading'!$A$290</f>
        <v>Transporation Cost/100 Kg</v>
      </c>
      <c r="E24">
        <f>+P18</f>
        <v>6935</v>
      </c>
      <c r="F24">
        <f>+'[14]12.Facility 1 - Trading'!$C$290*10</f>
        <v>500</v>
      </c>
      <c r="G24">
        <f>+E24*F24</f>
        <v>3467500</v>
      </c>
      <c r="W24">
        <f>+W23/20</f>
        <v>175</v>
      </c>
    </row>
    <row r="25" spans="2:23">
      <c r="B25" t="str">
        <f>+'[14]12.Facility 1 - Trading'!$A$291</f>
        <v>Repaires &amp; Maintanance</v>
      </c>
      <c r="E25">
        <v>7000</v>
      </c>
      <c r="F25">
        <f>+'[14]12.Facility 1 - Trading'!$C$291*10</f>
        <v>300</v>
      </c>
      <c r="G25">
        <f>+E25*F25</f>
        <v>2100000</v>
      </c>
    </row>
    <row r="26" spans="2:23">
      <c r="G26" s="288">
        <f>SUM(G21:G25)</f>
        <v>10460500</v>
      </c>
    </row>
    <row r="28" spans="2:23">
      <c r="B28" t="str">
        <f>+'[14]12.Facility 1 - Trading'!$A$299</f>
        <v>Manager</v>
      </c>
      <c r="E28">
        <f>+'[14]12.Facility 1 - Trading'!$B$299</f>
        <v>1</v>
      </c>
      <c r="F28">
        <f>+'[14]12.Facility 1 - Trading'!$C$299</f>
        <v>15000</v>
      </c>
      <c r="G28">
        <f>+F28*12</f>
        <v>180000</v>
      </c>
    </row>
    <row r="29" spans="2:23">
      <c r="B29" t="str">
        <f>+'[14]12.Facility 1 - Trading'!$A$301</f>
        <v>Machine Operator</v>
      </c>
      <c r="E29">
        <f>+'[14]12.Facility 1 - Trading'!$B$301</f>
        <v>1</v>
      </c>
      <c r="F29">
        <f>+'[14]12.Facility 1 - Trading'!$C$301</f>
        <v>15000</v>
      </c>
      <c r="G29">
        <f>+F29*12</f>
        <v>180000</v>
      </c>
    </row>
    <row r="30" spans="2:23">
      <c r="B30" t="str">
        <f>+'[14]12.Facility 1 - Trading'!$A$302</f>
        <v>Fixed Labour</v>
      </c>
      <c r="E30">
        <f>+'[14]12.Facility 1 - Trading'!$B$302</f>
        <v>2</v>
      </c>
      <c r="F30">
        <f>+'[14]12.Facility 1 - Trading'!$C$302*30</f>
        <v>9000</v>
      </c>
      <c r="G30">
        <f>+(F30*E30)*12</f>
        <v>216000</v>
      </c>
    </row>
    <row r="31" spans="2:23">
      <c r="G31" s="288">
        <f>SUM(G28:G30)</f>
        <v>576000</v>
      </c>
    </row>
    <row r="34" spans="7:8">
      <c r="G34" t="e">
        <f>+G26+H18</f>
        <v>#REF!</v>
      </c>
      <c r="H34" t="e">
        <f>+H18+G26</f>
        <v>#REF!</v>
      </c>
    </row>
    <row r="35" spans="7:8">
      <c r="G35">
        <f>+G31</f>
        <v>576000</v>
      </c>
    </row>
    <row r="36" spans="7:8">
      <c r="G36" t="e">
        <f>+T18-G34-G35</f>
        <v>#REF!</v>
      </c>
    </row>
  </sheetData>
  <mergeCells count="2">
    <mergeCell ref="E2:G2"/>
    <mergeCell ref="N2:S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14"/>
  <sheetViews>
    <sheetView showGridLines="0" view="pageBreakPreview" topLeftCell="A130" zoomScale="80" zoomScaleSheetLayoutView="80" workbookViewId="0">
      <selection activeCell="D134" sqref="D134"/>
    </sheetView>
  </sheetViews>
  <sheetFormatPr defaultRowHeight="15"/>
  <cols>
    <col min="1" max="1" width="30.42578125" customWidth="1"/>
    <col min="2" max="2" width="8" customWidth="1"/>
    <col min="3" max="3" width="8.28515625" customWidth="1"/>
    <col min="4" max="6" width="14" customWidth="1"/>
    <col min="7" max="8" width="14.140625" customWidth="1"/>
    <col min="9" max="10" width="14" bestFit="1" customWidth="1"/>
    <col min="11" max="12" width="14" customWidth="1"/>
    <col min="14" max="14" width="10.140625" bestFit="1" customWidth="1"/>
    <col min="16" max="16" width="12" bestFit="1" customWidth="1"/>
    <col min="17" max="17" width="13.85546875" bestFit="1" customWidth="1"/>
    <col min="20" max="20" width="15.140625" bestFit="1" customWidth="1"/>
  </cols>
  <sheetData>
    <row r="3" spans="1:13" ht="18.75">
      <c r="A3" s="724" t="s">
        <v>2098</v>
      </c>
      <c r="B3" s="724"/>
      <c r="C3" s="724"/>
      <c r="D3" s="724"/>
      <c r="E3" s="724"/>
      <c r="F3" s="724"/>
      <c r="G3" s="724"/>
      <c r="H3" s="724"/>
    </row>
    <row r="4" spans="1:13" ht="18.75">
      <c r="A4" s="724" t="s">
        <v>2099</v>
      </c>
      <c r="B4" s="724"/>
      <c r="C4" s="724"/>
      <c r="D4" s="724"/>
      <c r="E4" s="724"/>
      <c r="F4" s="724"/>
      <c r="G4" s="724"/>
      <c r="H4" s="724"/>
    </row>
    <row r="5" spans="1:13">
      <c r="A5" s="68" t="s">
        <v>162</v>
      </c>
      <c r="B5" s="679">
        <v>20</v>
      </c>
      <c r="C5" s="68" t="s">
        <v>470</v>
      </c>
      <c r="D5" s="68"/>
      <c r="E5" s="68"/>
      <c r="F5" s="68"/>
      <c r="G5" s="68"/>
      <c r="H5" s="68"/>
    </row>
    <row r="6" spans="1:13">
      <c r="A6" s="68" t="s">
        <v>163</v>
      </c>
      <c r="B6" s="680">
        <v>7.5</v>
      </c>
      <c r="C6" s="68"/>
      <c r="D6" s="68"/>
      <c r="E6" s="68"/>
      <c r="F6" s="68"/>
      <c r="G6" s="68"/>
      <c r="H6" s="68"/>
    </row>
    <row r="7" spans="1:13">
      <c r="A7" s="68"/>
      <c r="B7" s="203"/>
      <c r="C7" s="68"/>
      <c r="D7" s="68"/>
      <c r="E7" s="68"/>
      <c r="F7" s="68"/>
      <c r="G7" s="68"/>
      <c r="H7" s="68"/>
    </row>
    <row r="8" spans="1:13">
      <c r="A8" s="68"/>
      <c r="B8" s="203"/>
      <c r="C8" s="68"/>
      <c r="D8" s="68"/>
      <c r="E8" s="68"/>
      <c r="F8" s="68"/>
      <c r="G8" s="68"/>
      <c r="H8" s="68"/>
    </row>
    <row r="9" spans="1:13">
      <c r="A9" s="68"/>
      <c r="B9" s="68"/>
      <c r="C9" s="68"/>
      <c r="D9" s="68"/>
      <c r="E9" s="68"/>
      <c r="F9" s="68"/>
      <c r="G9" s="68"/>
      <c r="H9" s="68"/>
    </row>
    <row r="10" spans="1:13">
      <c r="A10" s="68" t="s">
        <v>518</v>
      </c>
      <c r="B10" s="153">
        <f>AVERAGE(D12:J12)</f>
        <v>216.29161532160006</v>
      </c>
      <c r="C10" s="68"/>
      <c r="D10" s="68"/>
      <c r="E10" s="68"/>
      <c r="F10" s="68"/>
      <c r="G10" s="68"/>
      <c r="H10" s="68"/>
    </row>
    <row r="11" spans="1:13">
      <c r="A11" s="418" t="s">
        <v>0</v>
      </c>
      <c r="B11" s="445"/>
      <c r="C11" s="421"/>
      <c r="D11" s="60" t="s">
        <v>2</v>
      </c>
      <c r="E11" s="60" t="s">
        <v>3</v>
      </c>
      <c r="F11" s="60" t="s">
        <v>4</v>
      </c>
      <c r="G11" s="60" t="s">
        <v>5</v>
      </c>
      <c r="H11" s="60" t="s">
        <v>6</v>
      </c>
      <c r="I11" s="60" t="s">
        <v>170</v>
      </c>
      <c r="J11" s="60" t="s">
        <v>169</v>
      </c>
      <c r="K11" s="450"/>
      <c r="L11" s="553"/>
    </row>
    <row r="12" spans="1:13">
      <c r="A12" s="412" t="s">
        <v>171</v>
      </c>
      <c r="B12" s="436"/>
      <c r="C12" s="415"/>
      <c r="D12" s="226">
        <f>D32/($B$5*$B$6)</f>
        <v>166.37816563200002</v>
      </c>
      <c r="E12" s="226">
        <f t="shared" ref="E12:J12" si="0">E32/($B$5*$B$6)</f>
        <v>183.01598219520005</v>
      </c>
      <c r="F12" s="226">
        <f t="shared" si="0"/>
        <v>199.65379875840006</v>
      </c>
      <c r="G12" s="226">
        <f t="shared" si="0"/>
        <v>216.29161532160006</v>
      </c>
      <c r="H12" s="226">
        <f t="shared" si="0"/>
        <v>232.92943188480004</v>
      </c>
      <c r="I12" s="226">
        <f t="shared" si="0"/>
        <v>249.56724844800007</v>
      </c>
      <c r="J12" s="226">
        <f t="shared" si="0"/>
        <v>266.20506501120013</v>
      </c>
      <c r="K12" s="153"/>
      <c r="L12" s="153"/>
    </row>
    <row r="13" spans="1:13" hidden="1">
      <c r="A13" s="412" t="str">
        <f>'10.Grain Production details'!A67</f>
        <v>Soybean</v>
      </c>
      <c r="B13" s="436"/>
      <c r="C13" s="415"/>
      <c r="D13" s="69">
        <f>'10.Grain Production details'!B67</f>
        <v>0</v>
      </c>
      <c r="E13" s="69">
        <f>'10.Grain Production details'!C67</f>
        <v>0</v>
      </c>
      <c r="F13" s="69">
        <f>'10.Grain Production details'!D67</f>
        <v>0</v>
      </c>
      <c r="G13" s="69">
        <f>'10.Grain Production details'!E67</f>
        <v>0</v>
      </c>
      <c r="H13" s="69">
        <f>'10.Grain Production details'!F67</f>
        <v>0</v>
      </c>
      <c r="I13" s="69">
        <f>'10.Grain Production details'!G67</f>
        <v>0</v>
      </c>
      <c r="J13" s="69">
        <f>'10.Grain Production details'!H67</f>
        <v>0</v>
      </c>
      <c r="K13" s="68"/>
      <c r="L13" s="68"/>
      <c r="M13" s="224"/>
    </row>
    <row r="14" spans="1:13" hidden="1">
      <c r="A14" s="412" t="str">
        <f>'10.Grain Production details'!A68</f>
        <v>Red Gram/Tur</v>
      </c>
      <c r="B14" s="436"/>
      <c r="C14" s="415"/>
      <c r="D14" s="69">
        <f>'10.Grain Production details'!B68</f>
        <v>13604.502844800001</v>
      </c>
      <c r="E14" s="69">
        <f>'10.Grain Production details'!C68</f>
        <v>14964.953129280002</v>
      </c>
      <c r="F14" s="69">
        <f>'10.Grain Production details'!D68</f>
        <v>16325.403413760005</v>
      </c>
      <c r="G14" s="69">
        <f>'10.Grain Production details'!E68</f>
        <v>17685.853698240004</v>
      </c>
      <c r="H14" s="69">
        <f>'10.Grain Production details'!F68</f>
        <v>19046.303982720005</v>
      </c>
      <c r="I14" s="69">
        <f>'10.Grain Production details'!G68</f>
        <v>20406.754267200005</v>
      </c>
      <c r="J14" s="69">
        <f>'10.Grain Production details'!H68</f>
        <v>21767.204551680006</v>
      </c>
      <c r="K14" s="68"/>
      <c r="L14" s="68"/>
    </row>
    <row r="15" spans="1:13" hidden="1">
      <c r="A15" s="412" t="str">
        <f>'10.Grain Production details'!A69</f>
        <v>Paddy/Rice</v>
      </c>
      <c r="B15" s="436"/>
      <c r="C15" s="415"/>
      <c r="D15" s="82">
        <f>'10.Grain Production details'!B69</f>
        <v>0</v>
      </c>
      <c r="E15" s="82">
        <f>'10.Grain Production details'!C69</f>
        <v>0</v>
      </c>
      <c r="F15" s="82">
        <f>'10.Grain Production details'!D69</f>
        <v>0</v>
      </c>
      <c r="G15" s="82">
        <f>'10.Grain Production details'!E69</f>
        <v>0</v>
      </c>
      <c r="H15" s="82">
        <f>'10.Grain Production details'!F69</f>
        <v>0</v>
      </c>
      <c r="I15" s="82">
        <f>'10.Grain Production details'!G69</f>
        <v>0</v>
      </c>
      <c r="J15" s="82">
        <f>'10.Grain Production details'!H69</f>
        <v>0</v>
      </c>
      <c r="K15" s="68"/>
      <c r="L15" s="68"/>
    </row>
    <row r="16" spans="1:13" hidden="1">
      <c r="A16" s="412" t="str">
        <f>'10.Grain Production details'!A70</f>
        <v>Green Gram/ Moong</v>
      </c>
      <c r="B16" s="436"/>
      <c r="C16" s="415"/>
      <c r="D16" s="82">
        <f>'10.Grain Production details'!B70</f>
        <v>0</v>
      </c>
      <c r="E16" s="82">
        <f>'10.Grain Production details'!C70</f>
        <v>0</v>
      </c>
      <c r="F16" s="82">
        <f>'10.Grain Production details'!D70</f>
        <v>0</v>
      </c>
      <c r="G16" s="82">
        <f>'10.Grain Production details'!E70</f>
        <v>0</v>
      </c>
      <c r="H16" s="82">
        <f>'10.Grain Production details'!F70</f>
        <v>0</v>
      </c>
      <c r="I16" s="82">
        <f>'10.Grain Production details'!G70</f>
        <v>0</v>
      </c>
      <c r="J16" s="82">
        <f>'10.Grain Production details'!H70</f>
        <v>0</v>
      </c>
      <c r="K16" s="68"/>
      <c r="L16" s="68"/>
    </row>
    <row r="17" spans="1:12" hidden="1">
      <c r="A17" s="412" t="str">
        <f>'10.Grain Production details'!A71</f>
        <v>Maize</v>
      </c>
      <c r="B17" s="436"/>
      <c r="C17" s="415"/>
      <c r="D17" s="82">
        <f>'10.Grain Production details'!B71</f>
        <v>0</v>
      </c>
      <c r="E17" s="82">
        <f>'10.Grain Production details'!C71</f>
        <v>0</v>
      </c>
      <c r="F17" s="82">
        <f>'10.Grain Production details'!D71</f>
        <v>0</v>
      </c>
      <c r="G17" s="82">
        <f>'10.Grain Production details'!E71</f>
        <v>0</v>
      </c>
      <c r="H17" s="82">
        <f>'10.Grain Production details'!F71</f>
        <v>0</v>
      </c>
      <c r="I17" s="82">
        <f>'10.Grain Production details'!G71</f>
        <v>0</v>
      </c>
      <c r="J17" s="82">
        <f>'10.Grain Production details'!H71</f>
        <v>0</v>
      </c>
      <c r="K17" s="68"/>
      <c r="L17" s="68"/>
    </row>
    <row r="18" spans="1:12" hidden="1">
      <c r="A18" s="412" t="str">
        <f>'10.Grain Production details'!A72</f>
        <v>Black Gram/Udid</v>
      </c>
      <c r="B18" s="436"/>
      <c r="C18" s="415"/>
      <c r="D18" s="82">
        <f>'10.Grain Production details'!B72</f>
        <v>0</v>
      </c>
      <c r="E18" s="82">
        <f>'10.Grain Production details'!C72</f>
        <v>0</v>
      </c>
      <c r="F18" s="82">
        <f>'10.Grain Production details'!D72</f>
        <v>0</v>
      </c>
      <c r="G18" s="82">
        <f>'10.Grain Production details'!E72</f>
        <v>0</v>
      </c>
      <c r="H18" s="82">
        <f>'10.Grain Production details'!F72</f>
        <v>0</v>
      </c>
      <c r="I18" s="82">
        <f>'10.Grain Production details'!G72</f>
        <v>0</v>
      </c>
      <c r="J18" s="82">
        <f>'10.Grain Production details'!H72</f>
        <v>0</v>
      </c>
      <c r="K18" s="68"/>
      <c r="L18" s="68"/>
    </row>
    <row r="19" spans="1:12" hidden="1">
      <c r="A19" s="412" t="str">
        <f>'10.Grain Production details'!A73</f>
        <v>Bajra</v>
      </c>
      <c r="B19" s="436"/>
      <c r="C19" s="415"/>
      <c r="D19" s="82">
        <f>'10.Grain Production details'!B73</f>
        <v>0</v>
      </c>
      <c r="E19" s="82">
        <f>'10.Grain Production details'!C73</f>
        <v>0</v>
      </c>
      <c r="F19" s="82">
        <f>'10.Grain Production details'!D73</f>
        <v>0</v>
      </c>
      <c r="G19" s="82">
        <f>'10.Grain Production details'!E73</f>
        <v>0</v>
      </c>
      <c r="H19" s="82">
        <f>'10.Grain Production details'!F73</f>
        <v>0</v>
      </c>
      <c r="I19" s="82">
        <f>'10.Grain Production details'!G73</f>
        <v>0</v>
      </c>
      <c r="J19" s="82">
        <f>'10.Grain Production details'!H73</f>
        <v>0</v>
      </c>
      <c r="K19" s="68"/>
      <c r="L19" s="68"/>
    </row>
    <row r="20" spans="1:12" hidden="1">
      <c r="A20" s="412" t="str">
        <f>'10.Grain Production details'!A74</f>
        <v>Jawar</v>
      </c>
      <c r="B20" s="436"/>
      <c r="C20" s="415"/>
      <c r="D20" s="82">
        <f>'10.Grain Production details'!B74</f>
        <v>0</v>
      </c>
      <c r="E20" s="82">
        <f>'10.Grain Production details'!C74</f>
        <v>0</v>
      </c>
      <c r="F20" s="82">
        <f>'10.Grain Production details'!D74</f>
        <v>0</v>
      </c>
      <c r="G20" s="82">
        <f>'10.Grain Production details'!E74</f>
        <v>0</v>
      </c>
      <c r="H20" s="82">
        <f>'10.Grain Production details'!F74</f>
        <v>0</v>
      </c>
      <c r="I20" s="82">
        <f>'10.Grain Production details'!G74</f>
        <v>0</v>
      </c>
      <c r="J20" s="82">
        <f>'10.Grain Production details'!H74</f>
        <v>0</v>
      </c>
      <c r="K20" s="68"/>
      <c r="L20" s="68"/>
    </row>
    <row r="21" spans="1:12" hidden="1">
      <c r="A21" s="412" t="str">
        <f>'10.Grain Production details'!A75</f>
        <v>Sunflower</v>
      </c>
      <c r="B21" s="436"/>
      <c r="C21" s="415"/>
      <c r="D21" s="82">
        <f>'10.Grain Production details'!B75</f>
        <v>0</v>
      </c>
      <c r="E21" s="82">
        <f>'10.Grain Production details'!C75</f>
        <v>0</v>
      </c>
      <c r="F21" s="82">
        <f>'10.Grain Production details'!D75</f>
        <v>0</v>
      </c>
      <c r="G21" s="82">
        <f>'10.Grain Production details'!E75</f>
        <v>0</v>
      </c>
      <c r="H21" s="82">
        <f>'10.Grain Production details'!F75</f>
        <v>0</v>
      </c>
      <c r="I21" s="82">
        <f>'10.Grain Production details'!G75</f>
        <v>0</v>
      </c>
      <c r="J21" s="82">
        <f>'10.Grain Production details'!H75</f>
        <v>0</v>
      </c>
      <c r="K21" s="68"/>
      <c r="L21" s="68"/>
    </row>
    <row r="22" spans="1:12" hidden="1">
      <c r="A22" s="412" t="str">
        <f>'10.Grain Production details'!A76</f>
        <v>Wheat</v>
      </c>
      <c r="B22" s="436"/>
      <c r="C22" s="415"/>
      <c r="D22" s="82">
        <f>'10.Grain Production details'!B76</f>
        <v>0</v>
      </c>
      <c r="E22" s="82">
        <f>'10.Grain Production details'!C76</f>
        <v>0</v>
      </c>
      <c r="F22" s="82">
        <f>'10.Grain Production details'!D76</f>
        <v>0</v>
      </c>
      <c r="G22" s="82">
        <f>'10.Grain Production details'!E76</f>
        <v>0</v>
      </c>
      <c r="H22" s="82">
        <f>'10.Grain Production details'!F76</f>
        <v>0</v>
      </c>
      <c r="I22" s="82">
        <f>'10.Grain Production details'!G76</f>
        <v>0</v>
      </c>
      <c r="J22" s="82">
        <f>'10.Grain Production details'!H76</f>
        <v>0</v>
      </c>
      <c r="K22" s="68"/>
      <c r="L22" s="68"/>
    </row>
    <row r="23" spans="1:12">
      <c r="A23" s="412" t="str">
        <f>'10.Grain Production details'!A77</f>
        <v>Bengal Gram/Channa</v>
      </c>
      <c r="B23" s="436"/>
      <c r="C23" s="415"/>
      <c r="D23" s="82">
        <f>'10.Grain Production details'!B77</f>
        <v>11352.222000000002</v>
      </c>
      <c r="E23" s="82">
        <f>'10.Grain Production details'!C77</f>
        <v>12487.444200000004</v>
      </c>
      <c r="F23" s="82">
        <f>'10.Grain Production details'!D77</f>
        <v>13622.666400000004</v>
      </c>
      <c r="G23" s="82">
        <f>'10.Grain Production details'!E77</f>
        <v>14757.888600000006</v>
      </c>
      <c r="H23" s="82">
        <f>'10.Grain Production details'!F77</f>
        <v>15893.110800000006</v>
      </c>
      <c r="I23" s="82">
        <f>'10.Grain Production details'!G77</f>
        <v>17028.333000000006</v>
      </c>
      <c r="J23" s="82">
        <f>'10.Grain Production details'!H77</f>
        <v>18163.555200000006</v>
      </c>
      <c r="K23" s="68"/>
      <c r="L23" s="68"/>
    </row>
    <row r="24" spans="1:12" hidden="1">
      <c r="A24" s="412" t="str">
        <f>'10.Grain Production details'!A78</f>
        <v>Jawar</v>
      </c>
      <c r="B24" s="436"/>
      <c r="C24" s="415"/>
      <c r="D24" s="82">
        <f>'10.Grain Production details'!B78</f>
        <v>0</v>
      </c>
      <c r="E24" s="82">
        <f>'10.Grain Production details'!C78</f>
        <v>0</v>
      </c>
      <c r="F24" s="82">
        <f>'10.Grain Production details'!D78</f>
        <v>0</v>
      </c>
      <c r="G24" s="82">
        <f>'10.Grain Production details'!E78</f>
        <v>0</v>
      </c>
      <c r="H24" s="82">
        <f>'10.Grain Production details'!F78</f>
        <v>0</v>
      </c>
      <c r="I24" s="82">
        <f>'10.Grain Production details'!G78</f>
        <v>0</v>
      </c>
      <c r="J24" s="82">
        <f>'10.Grain Production details'!H78</f>
        <v>0</v>
      </c>
      <c r="K24" s="68"/>
      <c r="L24" s="68"/>
    </row>
    <row r="25" spans="1:12" hidden="1">
      <c r="A25" s="412" t="str">
        <f>'10.Grain Production details'!A79</f>
        <v>Maize</v>
      </c>
      <c r="B25" s="436"/>
      <c r="C25" s="415"/>
      <c r="D25" s="82">
        <f>'10.Grain Production details'!B79</f>
        <v>0</v>
      </c>
      <c r="E25" s="82">
        <f>'10.Grain Production details'!C79</f>
        <v>0</v>
      </c>
      <c r="F25" s="82">
        <f>'10.Grain Production details'!D79</f>
        <v>0</v>
      </c>
      <c r="G25" s="82">
        <f>'10.Grain Production details'!E79</f>
        <v>0</v>
      </c>
      <c r="H25" s="82">
        <f>'10.Grain Production details'!F79</f>
        <v>0</v>
      </c>
      <c r="I25" s="82">
        <f>'10.Grain Production details'!G79</f>
        <v>0</v>
      </c>
      <c r="J25" s="82">
        <f>'10.Grain Production details'!H79</f>
        <v>0</v>
      </c>
      <c r="K25" s="68"/>
      <c r="L25" s="68"/>
    </row>
    <row r="26" spans="1:12" hidden="1">
      <c r="A26" s="412" t="str">
        <f>'10.Grain Production details'!A80</f>
        <v>Safflower</v>
      </c>
      <c r="B26" s="436"/>
      <c r="C26" s="415"/>
      <c r="D26" s="82">
        <f>'10.Grain Production details'!B80</f>
        <v>0</v>
      </c>
      <c r="E26" s="82">
        <f>'10.Grain Production details'!C80</f>
        <v>0</v>
      </c>
      <c r="F26" s="82">
        <f>'10.Grain Production details'!D80</f>
        <v>0</v>
      </c>
      <c r="G26" s="82">
        <f>'10.Grain Production details'!E80</f>
        <v>0</v>
      </c>
      <c r="H26" s="82">
        <f>'10.Grain Production details'!F80</f>
        <v>0</v>
      </c>
      <c r="I26" s="82">
        <f>'10.Grain Production details'!G80</f>
        <v>0</v>
      </c>
      <c r="J26" s="82">
        <f>'10.Grain Production details'!H80</f>
        <v>0</v>
      </c>
      <c r="K26" s="68"/>
      <c r="L26" s="68"/>
    </row>
    <row r="27" spans="1:12" hidden="1">
      <c r="A27" s="412">
        <f>'10.Grain Production details'!A81</f>
        <v>0</v>
      </c>
      <c r="B27" s="436"/>
      <c r="C27" s="415"/>
      <c r="D27" s="82">
        <f>'10.Grain Production details'!B81</f>
        <v>0</v>
      </c>
      <c r="E27" s="82">
        <f>'10.Grain Production details'!C81</f>
        <v>0</v>
      </c>
      <c r="F27" s="82">
        <f>'10.Grain Production details'!D81</f>
        <v>0</v>
      </c>
      <c r="G27" s="82">
        <f>'10.Grain Production details'!E81</f>
        <v>0</v>
      </c>
      <c r="H27" s="82">
        <f>'10.Grain Production details'!F81</f>
        <v>0</v>
      </c>
      <c r="I27" s="82">
        <f>'10.Grain Production details'!G81</f>
        <v>0</v>
      </c>
      <c r="J27" s="82">
        <f>'10.Grain Production details'!H81</f>
        <v>0</v>
      </c>
      <c r="K27" s="68"/>
      <c r="L27" s="68"/>
    </row>
    <row r="28" spans="1:12" hidden="1">
      <c r="A28" s="412">
        <f>'10.Grain Production details'!A82</f>
        <v>0</v>
      </c>
      <c r="B28" s="436"/>
      <c r="C28" s="415"/>
      <c r="D28" s="82">
        <f>'10.Grain Production details'!B82</f>
        <v>0</v>
      </c>
      <c r="E28" s="82">
        <f>'10.Grain Production details'!C82</f>
        <v>0</v>
      </c>
      <c r="F28" s="82">
        <f>'10.Grain Production details'!D82</f>
        <v>0</v>
      </c>
      <c r="G28" s="82">
        <f>'10.Grain Production details'!E82</f>
        <v>0</v>
      </c>
      <c r="H28" s="82">
        <f>'10.Grain Production details'!F82</f>
        <v>0</v>
      </c>
      <c r="I28" s="82">
        <f>'10.Grain Production details'!G82</f>
        <v>0</v>
      </c>
      <c r="J28" s="82">
        <f>'10.Grain Production details'!H82</f>
        <v>0</v>
      </c>
      <c r="K28" s="68"/>
      <c r="L28" s="68"/>
    </row>
    <row r="29" spans="1:12" hidden="1">
      <c r="A29" s="412">
        <f>'10.Grain Production details'!A83</f>
        <v>0</v>
      </c>
      <c r="B29" s="436"/>
      <c r="C29" s="415"/>
      <c r="D29" s="82">
        <f>'10.Grain Production details'!B83</f>
        <v>0</v>
      </c>
      <c r="E29" s="82">
        <f>'10.Grain Production details'!C83</f>
        <v>0</v>
      </c>
      <c r="F29" s="82">
        <f>'10.Grain Production details'!D83</f>
        <v>0</v>
      </c>
      <c r="G29" s="82">
        <f>'10.Grain Production details'!E83</f>
        <v>0</v>
      </c>
      <c r="H29" s="82">
        <f>'10.Grain Production details'!F83</f>
        <v>0</v>
      </c>
      <c r="I29" s="82">
        <f>'10.Grain Production details'!G83</f>
        <v>0</v>
      </c>
      <c r="J29" s="82">
        <f>'10.Grain Production details'!H83</f>
        <v>0</v>
      </c>
      <c r="K29" s="68"/>
      <c r="L29" s="68"/>
    </row>
    <row r="30" spans="1:12" hidden="1">
      <c r="A30" s="412" t="str">
        <f>'10.Grain Production details'!A84</f>
        <v>Groundnut</v>
      </c>
      <c r="B30" s="436"/>
      <c r="C30" s="415"/>
      <c r="D30" s="82">
        <f>'10.Grain Production details'!B84</f>
        <v>0</v>
      </c>
      <c r="E30" s="82">
        <f>'10.Grain Production details'!C84</f>
        <v>0</v>
      </c>
      <c r="F30" s="82">
        <f>'10.Grain Production details'!D84</f>
        <v>0</v>
      </c>
      <c r="G30" s="82">
        <f>'10.Grain Production details'!E84</f>
        <v>0</v>
      </c>
      <c r="H30" s="82">
        <f>'10.Grain Production details'!F84</f>
        <v>0</v>
      </c>
      <c r="I30" s="82">
        <f>'10.Grain Production details'!G84</f>
        <v>0</v>
      </c>
      <c r="J30" s="82">
        <f>'10.Grain Production details'!H84</f>
        <v>0</v>
      </c>
      <c r="K30" s="68"/>
      <c r="L30" s="68"/>
    </row>
    <row r="31" spans="1:12">
      <c r="A31" s="412">
        <f>'10.Grain Production details'!A85</f>
        <v>0</v>
      </c>
      <c r="B31" s="436"/>
      <c r="C31" s="415"/>
      <c r="D31" s="82">
        <f>'10.Grain Production details'!B85</f>
        <v>0</v>
      </c>
      <c r="E31" s="82">
        <f>'10.Grain Production details'!C85</f>
        <v>0</v>
      </c>
      <c r="F31" s="82">
        <f>'10.Grain Production details'!D85</f>
        <v>0</v>
      </c>
      <c r="G31" s="82">
        <f>'10.Grain Production details'!E85</f>
        <v>0</v>
      </c>
      <c r="H31" s="82">
        <f>'10.Grain Production details'!F85</f>
        <v>0</v>
      </c>
      <c r="I31" s="82">
        <f>'10.Grain Production details'!G85</f>
        <v>0</v>
      </c>
      <c r="J31" s="82">
        <f>'10.Grain Production details'!H85</f>
        <v>0</v>
      </c>
      <c r="K31" s="68"/>
      <c r="L31" s="68"/>
    </row>
    <row r="32" spans="1:12">
      <c r="A32" s="412" t="s">
        <v>461</v>
      </c>
      <c r="B32" s="436"/>
      <c r="C32" s="415"/>
      <c r="D32" s="70">
        <f>SUM(D13:D31)</f>
        <v>24956.724844800003</v>
      </c>
      <c r="E32" s="70">
        <f t="shared" ref="E32:J32" si="1">SUM(E13:E31)</f>
        <v>27452.397329280007</v>
      </c>
      <c r="F32" s="70">
        <f t="shared" si="1"/>
        <v>29948.069813760008</v>
      </c>
      <c r="G32" s="70">
        <f t="shared" si="1"/>
        <v>32443.742298240009</v>
      </c>
      <c r="H32" s="70">
        <f t="shared" si="1"/>
        <v>34939.414782720007</v>
      </c>
      <c r="I32" s="70">
        <f t="shared" si="1"/>
        <v>37435.087267200011</v>
      </c>
      <c r="J32" s="70">
        <f t="shared" si="1"/>
        <v>39930.759751680016</v>
      </c>
      <c r="K32" s="68"/>
      <c r="L32" s="68"/>
    </row>
    <row r="33" spans="1:12">
      <c r="A33" s="418" t="s">
        <v>0</v>
      </c>
      <c r="B33" s="445"/>
      <c r="C33" s="421"/>
      <c r="D33" s="60" t="s">
        <v>2</v>
      </c>
      <c r="E33" s="60" t="s">
        <v>3</v>
      </c>
      <c r="F33" s="60" t="s">
        <v>4</v>
      </c>
      <c r="G33" s="60" t="s">
        <v>5</v>
      </c>
      <c r="H33" s="60" t="s">
        <v>6</v>
      </c>
      <c r="I33" s="60" t="s">
        <v>170</v>
      </c>
      <c r="J33" s="60" t="s">
        <v>169</v>
      </c>
      <c r="K33" s="450"/>
      <c r="L33" s="450"/>
    </row>
    <row r="34" spans="1:12">
      <c r="A34" s="444" t="s">
        <v>1625</v>
      </c>
      <c r="B34" s="446"/>
      <c r="C34" s="447"/>
      <c r="D34" s="204">
        <v>0.7</v>
      </c>
      <c r="E34" s="204">
        <f t="shared" ref="E34:J34" si="2">D34</f>
        <v>0.7</v>
      </c>
      <c r="F34" s="204">
        <f t="shared" si="2"/>
        <v>0.7</v>
      </c>
      <c r="G34" s="204">
        <f t="shared" si="2"/>
        <v>0.7</v>
      </c>
      <c r="H34" s="204">
        <f t="shared" si="2"/>
        <v>0.7</v>
      </c>
      <c r="I34" s="204">
        <f t="shared" si="2"/>
        <v>0.7</v>
      </c>
      <c r="J34" s="204">
        <f t="shared" si="2"/>
        <v>0.7</v>
      </c>
      <c r="K34" s="202"/>
      <c r="L34" s="202"/>
    </row>
    <row r="35" spans="1:12">
      <c r="A35" s="412" t="s">
        <v>471</v>
      </c>
      <c r="B35" s="436"/>
      <c r="C35" s="415"/>
      <c r="D35" s="154">
        <f>1-D34</f>
        <v>0.30000000000000004</v>
      </c>
      <c r="E35" s="154">
        <f t="shared" ref="E35:J35" si="3">1-E34</f>
        <v>0.30000000000000004</v>
      </c>
      <c r="F35" s="154">
        <f t="shared" si="3"/>
        <v>0.30000000000000004</v>
      </c>
      <c r="G35" s="154">
        <f t="shared" si="3"/>
        <v>0.30000000000000004</v>
      </c>
      <c r="H35" s="154">
        <f t="shared" si="3"/>
        <v>0.30000000000000004</v>
      </c>
      <c r="I35" s="154">
        <f t="shared" si="3"/>
        <v>0.30000000000000004</v>
      </c>
      <c r="J35" s="154">
        <f t="shared" si="3"/>
        <v>0.30000000000000004</v>
      </c>
      <c r="K35" s="148"/>
      <c r="L35" s="148"/>
    </row>
    <row r="36" spans="1:12">
      <c r="A36" s="414" t="s">
        <v>166</v>
      </c>
      <c r="B36" s="440"/>
      <c r="C36" s="417"/>
      <c r="D36" s="193">
        <f>D32*D34</f>
        <v>17469.70739136</v>
      </c>
      <c r="E36" s="193">
        <f t="shared" ref="E36:J36" si="4">E32*E34</f>
        <v>19216.678130496002</v>
      </c>
      <c r="F36" s="193">
        <f t="shared" si="4"/>
        <v>20963.648869632005</v>
      </c>
      <c r="G36" s="193">
        <f t="shared" si="4"/>
        <v>22710.619608768004</v>
      </c>
      <c r="H36" s="193">
        <f t="shared" si="4"/>
        <v>24457.590347904003</v>
      </c>
      <c r="I36" s="193">
        <f t="shared" si="4"/>
        <v>26204.561087040005</v>
      </c>
      <c r="J36" s="193">
        <f t="shared" si="4"/>
        <v>27951.531826176011</v>
      </c>
      <c r="K36" s="451"/>
      <c r="L36" s="451"/>
    </row>
    <row r="37" spans="1:12">
      <c r="A37" s="414" t="s">
        <v>167</v>
      </c>
      <c r="B37" s="440"/>
      <c r="C37" s="417"/>
      <c r="D37" s="87">
        <f>D32-D36</f>
        <v>7487.017453440003</v>
      </c>
      <c r="E37" s="87">
        <f t="shared" ref="E37:J37" si="5">E32-E36</f>
        <v>8235.7191987840051</v>
      </c>
      <c r="F37" s="87">
        <f t="shared" si="5"/>
        <v>8984.4209441280036</v>
      </c>
      <c r="G37" s="87">
        <f t="shared" si="5"/>
        <v>9733.1226894720057</v>
      </c>
      <c r="H37" s="87">
        <f t="shared" si="5"/>
        <v>10481.824434816004</v>
      </c>
      <c r="I37" s="87">
        <f t="shared" si="5"/>
        <v>11230.526180160006</v>
      </c>
      <c r="J37" s="87">
        <f t="shared" si="5"/>
        <v>11979.227925504005</v>
      </c>
      <c r="K37" s="199"/>
      <c r="L37" s="199"/>
    </row>
    <row r="38" spans="1:12">
      <c r="A38" s="412" t="str">
        <f t="shared" ref="A38:A56" si="6">A13</f>
        <v>Soybean</v>
      </c>
      <c r="B38" s="436"/>
      <c r="C38" s="415"/>
      <c r="D38" s="70">
        <f t="shared" ref="D38:J38" si="7">D13*$D$35</f>
        <v>0</v>
      </c>
      <c r="E38" s="70">
        <f t="shared" si="7"/>
        <v>0</v>
      </c>
      <c r="F38" s="70">
        <f t="shared" si="7"/>
        <v>0</v>
      </c>
      <c r="G38" s="70">
        <f t="shared" si="7"/>
        <v>0</v>
      </c>
      <c r="H38" s="70">
        <f t="shared" si="7"/>
        <v>0</v>
      </c>
      <c r="I38" s="70">
        <f t="shared" si="7"/>
        <v>0</v>
      </c>
      <c r="J38" s="70">
        <f t="shared" si="7"/>
        <v>0</v>
      </c>
      <c r="K38" s="221"/>
      <c r="L38" s="221"/>
    </row>
    <row r="39" spans="1:12">
      <c r="A39" s="412" t="str">
        <f t="shared" si="6"/>
        <v>Red Gram/Tur</v>
      </c>
      <c r="B39" s="436"/>
      <c r="C39" s="415"/>
      <c r="D39" s="70">
        <f t="shared" ref="D39:D56" si="8">D14*$D$35</f>
        <v>4081.3508534400012</v>
      </c>
      <c r="E39" s="70">
        <f t="shared" ref="E39:E56" si="9">E14*$E$35</f>
        <v>4489.4859387840015</v>
      </c>
      <c r="F39" s="70">
        <f t="shared" ref="F39:F56" si="10">F14*$F$35</f>
        <v>4897.6210241280023</v>
      </c>
      <c r="G39" s="70">
        <f t="shared" ref="G39:G56" si="11">G14*$G$35</f>
        <v>5305.7561094720022</v>
      </c>
      <c r="H39" s="70">
        <f t="shared" ref="H39:H56" si="12">H14*$H$35</f>
        <v>5713.8911948160021</v>
      </c>
      <c r="I39" s="70">
        <f t="shared" ref="I39:I56" si="13">I14*$I$35</f>
        <v>6122.0262801600029</v>
      </c>
      <c r="J39" s="70">
        <f t="shared" ref="J39:J56" si="14">J14*$J$35</f>
        <v>6530.1613655040028</v>
      </c>
      <c r="K39" s="221"/>
      <c r="L39" s="221"/>
    </row>
    <row r="40" spans="1:12" hidden="1">
      <c r="A40" s="412" t="str">
        <f t="shared" si="6"/>
        <v>Paddy/Rice</v>
      </c>
      <c r="B40" s="436"/>
      <c r="C40" s="415"/>
      <c r="D40" s="70">
        <f t="shared" si="8"/>
        <v>0</v>
      </c>
      <c r="E40" s="70">
        <f t="shared" si="9"/>
        <v>0</v>
      </c>
      <c r="F40" s="70">
        <f t="shared" si="10"/>
        <v>0</v>
      </c>
      <c r="G40" s="70">
        <f t="shared" si="11"/>
        <v>0</v>
      </c>
      <c r="H40" s="70">
        <f t="shared" si="12"/>
        <v>0</v>
      </c>
      <c r="I40" s="70">
        <f t="shared" si="13"/>
        <v>0</v>
      </c>
      <c r="J40" s="70">
        <f t="shared" si="14"/>
        <v>0</v>
      </c>
      <c r="K40" s="221"/>
      <c r="L40" s="221"/>
    </row>
    <row r="41" spans="1:12" hidden="1">
      <c r="A41" s="412" t="str">
        <f t="shared" si="6"/>
        <v>Green Gram/ Moong</v>
      </c>
      <c r="B41" s="436"/>
      <c r="C41" s="415"/>
      <c r="D41" s="70">
        <f t="shared" si="8"/>
        <v>0</v>
      </c>
      <c r="E41" s="70">
        <f t="shared" si="9"/>
        <v>0</v>
      </c>
      <c r="F41" s="70">
        <f t="shared" si="10"/>
        <v>0</v>
      </c>
      <c r="G41" s="70">
        <f t="shared" si="11"/>
        <v>0</v>
      </c>
      <c r="H41" s="70">
        <f t="shared" si="12"/>
        <v>0</v>
      </c>
      <c r="I41" s="70">
        <f t="shared" si="13"/>
        <v>0</v>
      </c>
      <c r="J41" s="70">
        <f t="shared" si="14"/>
        <v>0</v>
      </c>
      <c r="K41" s="221"/>
      <c r="L41" s="221"/>
    </row>
    <row r="42" spans="1:12" hidden="1">
      <c r="A42" s="412" t="str">
        <f t="shared" si="6"/>
        <v>Maize</v>
      </c>
      <c r="B42" s="436"/>
      <c r="C42" s="415"/>
      <c r="D42" s="70">
        <f t="shared" si="8"/>
        <v>0</v>
      </c>
      <c r="E42" s="70">
        <f t="shared" si="9"/>
        <v>0</v>
      </c>
      <c r="F42" s="70">
        <f t="shared" si="10"/>
        <v>0</v>
      </c>
      <c r="G42" s="70">
        <f t="shared" si="11"/>
        <v>0</v>
      </c>
      <c r="H42" s="70">
        <f t="shared" si="12"/>
        <v>0</v>
      </c>
      <c r="I42" s="70">
        <f t="shared" si="13"/>
        <v>0</v>
      </c>
      <c r="J42" s="70">
        <f t="shared" si="14"/>
        <v>0</v>
      </c>
      <c r="K42" s="221"/>
      <c r="L42" s="221"/>
    </row>
    <row r="43" spans="1:12" hidden="1">
      <c r="A43" s="412" t="str">
        <f t="shared" si="6"/>
        <v>Black Gram/Udid</v>
      </c>
      <c r="B43" s="436"/>
      <c r="C43" s="415"/>
      <c r="D43" s="70">
        <f t="shared" si="8"/>
        <v>0</v>
      </c>
      <c r="E43" s="70">
        <f t="shared" si="9"/>
        <v>0</v>
      </c>
      <c r="F43" s="70">
        <f t="shared" si="10"/>
        <v>0</v>
      </c>
      <c r="G43" s="70">
        <f t="shared" si="11"/>
        <v>0</v>
      </c>
      <c r="H43" s="70">
        <f t="shared" si="12"/>
        <v>0</v>
      </c>
      <c r="I43" s="70">
        <f t="shared" si="13"/>
        <v>0</v>
      </c>
      <c r="J43" s="70">
        <f t="shared" si="14"/>
        <v>0</v>
      </c>
      <c r="K43" s="221"/>
      <c r="L43" s="221"/>
    </row>
    <row r="44" spans="1:12" hidden="1">
      <c r="A44" s="412" t="str">
        <f t="shared" si="6"/>
        <v>Bajra</v>
      </c>
      <c r="B44" s="436"/>
      <c r="C44" s="415"/>
      <c r="D44" s="70">
        <f t="shared" si="8"/>
        <v>0</v>
      </c>
      <c r="E44" s="70">
        <f t="shared" si="9"/>
        <v>0</v>
      </c>
      <c r="F44" s="70">
        <f t="shared" si="10"/>
        <v>0</v>
      </c>
      <c r="G44" s="70">
        <f t="shared" si="11"/>
        <v>0</v>
      </c>
      <c r="H44" s="70">
        <f t="shared" si="12"/>
        <v>0</v>
      </c>
      <c r="I44" s="70">
        <f t="shared" si="13"/>
        <v>0</v>
      </c>
      <c r="J44" s="70">
        <f t="shared" si="14"/>
        <v>0</v>
      </c>
      <c r="K44" s="221"/>
      <c r="L44" s="221"/>
    </row>
    <row r="45" spans="1:12" hidden="1">
      <c r="A45" s="412" t="str">
        <f t="shared" si="6"/>
        <v>Jawar</v>
      </c>
      <c r="B45" s="436"/>
      <c r="C45" s="415"/>
      <c r="D45" s="70">
        <f t="shared" si="8"/>
        <v>0</v>
      </c>
      <c r="E45" s="70">
        <f t="shared" si="9"/>
        <v>0</v>
      </c>
      <c r="F45" s="70">
        <f t="shared" si="10"/>
        <v>0</v>
      </c>
      <c r="G45" s="70">
        <f t="shared" si="11"/>
        <v>0</v>
      </c>
      <c r="H45" s="70">
        <f t="shared" si="12"/>
        <v>0</v>
      </c>
      <c r="I45" s="70">
        <f t="shared" si="13"/>
        <v>0</v>
      </c>
      <c r="J45" s="70">
        <f t="shared" si="14"/>
        <v>0</v>
      </c>
      <c r="K45" s="221"/>
      <c r="L45" s="221"/>
    </row>
    <row r="46" spans="1:12" hidden="1">
      <c r="A46" s="412" t="str">
        <f t="shared" si="6"/>
        <v>Sunflower</v>
      </c>
      <c r="B46" s="436"/>
      <c r="C46" s="415"/>
      <c r="D46" s="70">
        <f t="shared" si="8"/>
        <v>0</v>
      </c>
      <c r="E46" s="70">
        <f t="shared" si="9"/>
        <v>0</v>
      </c>
      <c r="F46" s="70">
        <f t="shared" si="10"/>
        <v>0</v>
      </c>
      <c r="G46" s="70">
        <f t="shared" si="11"/>
        <v>0</v>
      </c>
      <c r="H46" s="70">
        <f t="shared" si="12"/>
        <v>0</v>
      </c>
      <c r="I46" s="70">
        <f t="shared" si="13"/>
        <v>0</v>
      </c>
      <c r="J46" s="70">
        <f t="shared" si="14"/>
        <v>0</v>
      </c>
      <c r="K46" s="221"/>
      <c r="L46" s="221"/>
    </row>
    <row r="47" spans="1:12" hidden="1">
      <c r="A47" s="412" t="str">
        <f t="shared" si="6"/>
        <v>Wheat</v>
      </c>
      <c r="B47" s="436"/>
      <c r="C47" s="415"/>
      <c r="D47" s="70">
        <f t="shared" si="8"/>
        <v>0</v>
      </c>
      <c r="E47" s="70">
        <f t="shared" si="9"/>
        <v>0</v>
      </c>
      <c r="F47" s="70">
        <f t="shared" si="10"/>
        <v>0</v>
      </c>
      <c r="G47" s="70">
        <f t="shared" si="11"/>
        <v>0</v>
      </c>
      <c r="H47" s="70">
        <f t="shared" si="12"/>
        <v>0</v>
      </c>
      <c r="I47" s="70">
        <f t="shared" si="13"/>
        <v>0</v>
      </c>
      <c r="J47" s="70">
        <f t="shared" si="14"/>
        <v>0</v>
      </c>
      <c r="K47" s="221"/>
      <c r="L47" s="221"/>
    </row>
    <row r="48" spans="1:12">
      <c r="A48" s="412" t="str">
        <f t="shared" si="6"/>
        <v>Bengal Gram/Channa</v>
      </c>
      <c r="B48" s="436"/>
      <c r="C48" s="415"/>
      <c r="D48" s="70">
        <f t="shared" si="8"/>
        <v>3405.6666000000009</v>
      </c>
      <c r="E48" s="70">
        <f t="shared" si="9"/>
        <v>3746.2332600000018</v>
      </c>
      <c r="F48" s="70">
        <f t="shared" si="10"/>
        <v>4086.7999200000017</v>
      </c>
      <c r="G48" s="70">
        <f t="shared" si="11"/>
        <v>4427.3665800000026</v>
      </c>
      <c r="H48" s="70">
        <f t="shared" si="12"/>
        <v>4767.9332400000021</v>
      </c>
      <c r="I48" s="70">
        <f t="shared" si="13"/>
        <v>5108.4999000000025</v>
      </c>
      <c r="J48" s="70">
        <f t="shared" si="14"/>
        <v>5449.0665600000029</v>
      </c>
      <c r="K48" s="221"/>
      <c r="L48" s="221"/>
    </row>
    <row r="49" spans="1:12" hidden="1">
      <c r="A49" s="412" t="str">
        <f t="shared" si="6"/>
        <v>Jawar</v>
      </c>
      <c r="B49" s="436"/>
      <c r="C49" s="415"/>
      <c r="D49" s="70">
        <f t="shared" si="8"/>
        <v>0</v>
      </c>
      <c r="E49" s="70">
        <f t="shared" si="9"/>
        <v>0</v>
      </c>
      <c r="F49" s="70">
        <f t="shared" si="10"/>
        <v>0</v>
      </c>
      <c r="G49" s="70">
        <f t="shared" si="11"/>
        <v>0</v>
      </c>
      <c r="H49" s="70">
        <f t="shared" si="12"/>
        <v>0</v>
      </c>
      <c r="I49" s="70">
        <f t="shared" si="13"/>
        <v>0</v>
      </c>
      <c r="J49" s="70">
        <f t="shared" si="14"/>
        <v>0</v>
      </c>
      <c r="K49" s="221"/>
      <c r="L49" s="221"/>
    </row>
    <row r="50" spans="1:12" hidden="1">
      <c r="A50" s="412" t="str">
        <f t="shared" si="6"/>
        <v>Maize</v>
      </c>
      <c r="B50" s="436"/>
      <c r="C50" s="415"/>
      <c r="D50" s="70">
        <f t="shared" si="8"/>
        <v>0</v>
      </c>
      <c r="E50" s="70">
        <f t="shared" si="9"/>
        <v>0</v>
      </c>
      <c r="F50" s="70">
        <f t="shared" si="10"/>
        <v>0</v>
      </c>
      <c r="G50" s="70">
        <f t="shared" si="11"/>
        <v>0</v>
      </c>
      <c r="H50" s="70">
        <f t="shared" si="12"/>
        <v>0</v>
      </c>
      <c r="I50" s="70">
        <f t="shared" si="13"/>
        <v>0</v>
      </c>
      <c r="J50" s="70">
        <f t="shared" si="14"/>
        <v>0</v>
      </c>
      <c r="K50" s="221"/>
      <c r="L50" s="221"/>
    </row>
    <row r="51" spans="1:12" hidden="1">
      <c r="A51" s="412" t="str">
        <f t="shared" si="6"/>
        <v>Safflower</v>
      </c>
      <c r="B51" s="436"/>
      <c r="C51" s="415"/>
      <c r="D51" s="70">
        <f t="shared" si="8"/>
        <v>0</v>
      </c>
      <c r="E51" s="70">
        <f t="shared" si="9"/>
        <v>0</v>
      </c>
      <c r="F51" s="70">
        <f t="shared" si="10"/>
        <v>0</v>
      </c>
      <c r="G51" s="70">
        <f t="shared" si="11"/>
        <v>0</v>
      </c>
      <c r="H51" s="70">
        <f t="shared" si="12"/>
        <v>0</v>
      </c>
      <c r="I51" s="70">
        <f t="shared" si="13"/>
        <v>0</v>
      </c>
      <c r="J51" s="70">
        <f t="shared" si="14"/>
        <v>0</v>
      </c>
      <c r="K51" s="221"/>
      <c r="L51" s="221"/>
    </row>
    <row r="52" spans="1:12" hidden="1">
      <c r="A52" s="412">
        <f t="shared" si="6"/>
        <v>0</v>
      </c>
      <c r="B52" s="436"/>
      <c r="C52" s="415"/>
      <c r="D52" s="70">
        <f t="shared" si="8"/>
        <v>0</v>
      </c>
      <c r="E52" s="70">
        <f t="shared" si="9"/>
        <v>0</v>
      </c>
      <c r="F52" s="70">
        <f t="shared" si="10"/>
        <v>0</v>
      </c>
      <c r="G52" s="70">
        <f t="shared" si="11"/>
        <v>0</v>
      </c>
      <c r="H52" s="70">
        <f t="shared" si="12"/>
        <v>0</v>
      </c>
      <c r="I52" s="70">
        <f t="shared" si="13"/>
        <v>0</v>
      </c>
      <c r="J52" s="70">
        <f t="shared" si="14"/>
        <v>0</v>
      </c>
      <c r="K52" s="221"/>
      <c r="L52" s="221"/>
    </row>
    <row r="53" spans="1:12" hidden="1">
      <c r="A53" s="412">
        <f t="shared" si="6"/>
        <v>0</v>
      </c>
      <c r="B53" s="436"/>
      <c r="C53" s="415"/>
      <c r="D53" s="70">
        <f t="shared" si="8"/>
        <v>0</v>
      </c>
      <c r="E53" s="70">
        <f t="shared" si="9"/>
        <v>0</v>
      </c>
      <c r="F53" s="70">
        <f t="shared" si="10"/>
        <v>0</v>
      </c>
      <c r="G53" s="70">
        <f t="shared" si="11"/>
        <v>0</v>
      </c>
      <c r="H53" s="70">
        <f t="shared" si="12"/>
        <v>0</v>
      </c>
      <c r="I53" s="70">
        <f t="shared" si="13"/>
        <v>0</v>
      </c>
      <c r="J53" s="70">
        <f t="shared" si="14"/>
        <v>0</v>
      </c>
      <c r="K53" s="221"/>
      <c r="L53" s="221"/>
    </row>
    <row r="54" spans="1:12" hidden="1">
      <c r="A54" s="412">
        <f t="shared" si="6"/>
        <v>0</v>
      </c>
      <c r="B54" s="436"/>
      <c r="C54" s="415"/>
      <c r="D54" s="70">
        <f t="shared" si="8"/>
        <v>0</v>
      </c>
      <c r="E54" s="70">
        <f t="shared" si="9"/>
        <v>0</v>
      </c>
      <c r="F54" s="70">
        <f t="shared" si="10"/>
        <v>0</v>
      </c>
      <c r="G54" s="70">
        <f t="shared" si="11"/>
        <v>0</v>
      </c>
      <c r="H54" s="70">
        <f t="shared" si="12"/>
        <v>0</v>
      </c>
      <c r="I54" s="70">
        <f t="shared" si="13"/>
        <v>0</v>
      </c>
      <c r="J54" s="70">
        <f t="shared" si="14"/>
        <v>0</v>
      </c>
      <c r="K54" s="221"/>
      <c r="L54" s="221"/>
    </row>
    <row r="55" spans="1:12" hidden="1">
      <c r="A55" s="412" t="str">
        <f t="shared" si="6"/>
        <v>Groundnut</v>
      </c>
      <c r="B55" s="436"/>
      <c r="C55" s="415"/>
      <c r="D55" s="70">
        <f t="shared" si="8"/>
        <v>0</v>
      </c>
      <c r="E55" s="70">
        <f t="shared" si="9"/>
        <v>0</v>
      </c>
      <c r="F55" s="70">
        <f t="shared" si="10"/>
        <v>0</v>
      </c>
      <c r="G55" s="70">
        <f t="shared" si="11"/>
        <v>0</v>
      </c>
      <c r="H55" s="70">
        <f t="shared" si="12"/>
        <v>0</v>
      </c>
      <c r="I55" s="70">
        <f t="shared" si="13"/>
        <v>0</v>
      </c>
      <c r="J55" s="70">
        <f t="shared" si="14"/>
        <v>0</v>
      </c>
      <c r="K55" s="221"/>
      <c r="L55" s="221"/>
    </row>
    <row r="56" spans="1:12" hidden="1">
      <c r="A56" s="412">
        <f t="shared" si="6"/>
        <v>0</v>
      </c>
      <c r="B56" s="436"/>
      <c r="C56" s="415"/>
      <c r="D56" s="70">
        <f t="shared" si="8"/>
        <v>0</v>
      </c>
      <c r="E56" s="70">
        <f t="shared" si="9"/>
        <v>0</v>
      </c>
      <c r="F56" s="70">
        <f t="shared" si="10"/>
        <v>0</v>
      </c>
      <c r="G56" s="70">
        <f t="shared" si="11"/>
        <v>0</v>
      </c>
      <c r="H56" s="70">
        <f t="shared" si="12"/>
        <v>0</v>
      </c>
      <c r="I56" s="70">
        <f t="shared" si="13"/>
        <v>0</v>
      </c>
      <c r="J56" s="70">
        <f t="shared" si="14"/>
        <v>0</v>
      </c>
      <c r="K56" s="221"/>
      <c r="L56" s="221"/>
    </row>
    <row r="57" spans="1:12">
      <c r="A57" s="412"/>
      <c r="B57" s="436"/>
      <c r="C57" s="415"/>
      <c r="D57" s="69"/>
      <c r="E57" s="69"/>
      <c r="F57" s="69"/>
      <c r="G57" s="69"/>
      <c r="H57" s="69"/>
      <c r="I57" s="69"/>
      <c r="J57" s="69"/>
      <c r="K57" s="68"/>
      <c r="L57" s="68"/>
    </row>
    <row r="58" spans="1:12">
      <c r="A58" s="414" t="s">
        <v>287</v>
      </c>
      <c r="B58" s="440"/>
      <c r="C58" s="417"/>
      <c r="D58" s="69"/>
      <c r="E58" s="69"/>
      <c r="F58" s="69"/>
      <c r="G58" s="69"/>
      <c r="H58" s="69"/>
      <c r="I58" s="69"/>
      <c r="J58" s="69"/>
      <c r="K58" s="68"/>
      <c r="L58" s="68"/>
    </row>
    <row r="59" spans="1:12" hidden="1">
      <c r="A59" s="412" t="str">
        <f>A38</f>
        <v>Soybean</v>
      </c>
      <c r="B59" s="436"/>
      <c r="C59" s="415"/>
      <c r="D59" s="69"/>
      <c r="E59" s="69"/>
      <c r="F59" s="69"/>
      <c r="G59" s="69"/>
      <c r="H59" s="69"/>
      <c r="I59" s="69"/>
      <c r="J59" s="69"/>
      <c r="K59" s="68"/>
      <c r="L59" s="68"/>
    </row>
    <row r="60" spans="1:12" hidden="1">
      <c r="A60" s="412"/>
      <c r="B60" s="436"/>
      <c r="C60" s="415"/>
      <c r="D60" s="69"/>
      <c r="E60" s="69"/>
      <c r="F60" s="69"/>
      <c r="G60" s="69"/>
      <c r="H60" s="69"/>
      <c r="I60" s="69"/>
      <c r="J60" s="69"/>
      <c r="K60" s="68"/>
      <c r="L60" s="68"/>
    </row>
    <row r="61" spans="1:12" hidden="1">
      <c r="A61" s="412"/>
      <c r="B61" s="436"/>
      <c r="C61" s="415"/>
      <c r="D61" s="69"/>
      <c r="E61" s="69"/>
      <c r="F61" s="69"/>
      <c r="G61" s="69"/>
      <c r="H61" s="69"/>
      <c r="I61" s="69"/>
      <c r="J61" s="69"/>
      <c r="K61" s="68"/>
      <c r="L61" s="68"/>
    </row>
    <row r="62" spans="1:12" hidden="1">
      <c r="A62" s="412"/>
      <c r="B62" s="436"/>
      <c r="C62" s="415"/>
      <c r="D62" s="69"/>
      <c r="E62" s="69"/>
      <c r="F62" s="69"/>
      <c r="G62" s="69"/>
      <c r="H62" s="69"/>
      <c r="I62" s="69"/>
      <c r="J62" s="69"/>
      <c r="K62" s="68"/>
      <c r="L62" s="68"/>
    </row>
    <row r="63" spans="1:12">
      <c r="A63" s="412" t="str">
        <f>A39</f>
        <v>Red Gram/Tur</v>
      </c>
      <c r="B63" s="436"/>
      <c r="C63" s="415"/>
      <c r="D63" s="155"/>
      <c r="E63" s="155"/>
      <c r="F63" s="155"/>
      <c r="G63" s="155"/>
      <c r="H63" s="155"/>
      <c r="I63" s="155"/>
      <c r="J63" s="155"/>
      <c r="K63" s="152"/>
      <c r="L63" s="152"/>
    </row>
    <row r="64" spans="1:12">
      <c r="A64" s="412" t="s">
        <v>462</v>
      </c>
      <c r="B64" s="436"/>
      <c r="C64" s="415"/>
      <c r="D64" s="378">
        <f>D39*80%</f>
        <v>3265.0806827520009</v>
      </c>
      <c r="E64" s="378">
        <f t="shared" ref="E64:J64" si="15">E39*80%</f>
        <v>3591.5887510272014</v>
      </c>
      <c r="F64" s="378">
        <f t="shared" si="15"/>
        <v>3918.0968193024019</v>
      </c>
      <c r="G64" s="378">
        <f t="shared" si="15"/>
        <v>4244.6048875776023</v>
      </c>
      <c r="H64" s="378">
        <f t="shared" si="15"/>
        <v>4571.1129558528019</v>
      </c>
      <c r="I64" s="378">
        <f t="shared" si="15"/>
        <v>4897.6210241280023</v>
      </c>
      <c r="J64" s="378">
        <f t="shared" si="15"/>
        <v>5224.1290924032028</v>
      </c>
      <c r="K64" s="152"/>
      <c r="L64" s="152"/>
    </row>
    <row r="65" spans="1:12">
      <c r="A65" s="412" t="s">
        <v>141</v>
      </c>
      <c r="B65" s="436"/>
      <c r="C65" s="415"/>
      <c r="D65" s="378">
        <f>D39*20%</f>
        <v>816.27017068800023</v>
      </c>
      <c r="E65" s="378">
        <f t="shared" ref="E65:J65" si="16">E39*20%</f>
        <v>897.89718775680035</v>
      </c>
      <c r="F65" s="378">
        <f t="shared" si="16"/>
        <v>979.52420482560046</v>
      </c>
      <c r="G65" s="378">
        <f t="shared" si="16"/>
        <v>1061.1512218944006</v>
      </c>
      <c r="H65" s="378">
        <f t="shared" si="16"/>
        <v>1142.7782389632005</v>
      </c>
      <c r="I65" s="378">
        <f t="shared" si="16"/>
        <v>1224.4052560320006</v>
      </c>
      <c r="J65" s="378">
        <f t="shared" si="16"/>
        <v>1306.0322731008007</v>
      </c>
      <c r="K65" s="152"/>
      <c r="L65" s="152"/>
    </row>
    <row r="66" spans="1:12" hidden="1">
      <c r="A66" s="412" t="str">
        <f>A40</f>
        <v>Paddy/Rice</v>
      </c>
      <c r="B66" s="436"/>
      <c r="C66" s="415"/>
      <c r="D66" s="709"/>
      <c r="E66" s="709"/>
      <c r="F66" s="709"/>
      <c r="G66" s="709"/>
      <c r="H66" s="709"/>
      <c r="I66" s="709"/>
      <c r="J66" s="709"/>
      <c r="K66" s="221"/>
      <c r="L66" s="221"/>
    </row>
    <row r="67" spans="1:12" hidden="1">
      <c r="A67" s="412"/>
      <c r="B67" s="436"/>
      <c r="C67" s="415"/>
      <c r="D67" s="709"/>
      <c r="E67" s="709"/>
      <c r="F67" s="709"/>
      <c r="G67" s="709"/>
      <c r="H67" s="709"/>
      <c r="I67" s="709"/>
      <c r="J67" s="709"/>
      <c r="K67" s="221"/>
      <c r="L67" s="221"/>
    </row>
    <row r="68" spans="1:12" hidden="1">
      <c r="A68" s="412"/>
      <c r="B68" s="436"/>
      <c r="C68" s="415"/>
      <c r="D68" s="709"/>
      <c r="E68" s="709"/>
      <c r="F68" s="709"/>
      <c r="G68" s="709"/>
      <c r="H68" s="709"/>
      <c r="I68" s="709"/>
      <c r="J68" s="709"/>
      <c r="K68" s="221"/>
      <c r="L68" s="221"/>
    </row>
    <row r="69" spans="1:12" hidden="1">
      <c r="A69" s="412"/>
      <c r="B69" s="436"/>
      <c r="C69" s="415"/>
      <c r="D69" s="709"/>
      <c r="E69" s="709"/>
      <c r="F69" s="709"/>
      <c r="G69" s="709"/>
      <c r="H69" s="709"/>
      <c r="I69" s="709"/>
      <c r="J69" s="709"/>
      <c r="K69" s="221"/>
      <c r="L69" s="221"/>
    </row>
    <row r="70" spans="1:12" hidden="1">
      <c r="A70" s="412" t="str">
        <f>A41</f>
        <v>Green Gram/ Moong</v>
      </c>
      <c r="B70" s="436"/>
      <c r="C70" s="415"/>
      <c r="D70" s="709"/>
      <c r="E70" s="709"/>
      <c r="F70" s="709"/>
      <c r="G70" s="709"/>
      <c r="H70" s="709"/>
      <c r="I70" s="709"/>
      <c r="J70" s="709"/>
      <c r="K70" s="221"/>
      <c r="L70" s="221"/>
    </row>
    <row r="71" spans="1:12" hidden="1">
      <c r="A71" s="412" t="s">
        <v>462</v>
      </c>
      <c r="B71" s="436"/>
      <c r="C71" s="415"/>
      <c r="D71" s="710">
        <f>D41*80%</f>
        <v>0</v>
      </c>
      <c r="E71" s="710">
        <f t="shared" ref="E71:J71" si="17">E41*80%</f>
        <v>0</v>
      </c>
      <c r="F71" s="710">
        <f t="shared" si="17"/>
        <v>0</v>
      </c>
      <c r="G71" s="710">
        <f t="shared" si="17"/>
        <v>0</v>
      </c>
      <c r="H71" s="710">
        <f t="shared" si="17"/>
        <v>0</v>
      </c>
      <c r="I71" s="710">
        <f t="shared" si="17"/>
        <v>0</v>
      </c>
      <c r="J71" s="710">
        <f t="shared" si="17"/>
        <v>0</v>
      </c>
      <c r="K71" s="452"/>
      <c r="L71" s="452"/>
    </row>
    <row r="72" spans="1:12" hidden="1">
      <c r="A72" s="412" t="s">
        <v>141</v>
      </c>
      <c r="B72" s="436"/>
      <c r="C72" s="415"/>
      <c r="D72" s="709">
        <f>D41*20%</f>
        <v>0</v>
      </c>
      <c r="E72" s="709">
        <f t="shared" ref="E72:J72" si="18">E41*20%</f>
        <v>0</v>
      </c>
      <c r="F72" s="709">
        <f t="shared" si="18"/>
        <v>0</v>
      </c>
      <c r="G72" s="709">
        <f t="shared" si="18"/>
        <v>0</v>
      </c>
      <c r="H72" s="709">
        <f t="shared" si="18"/>
        <v>0</v>
      </c>
      <c r="I72" s="709">
        <f t="shared" si="18"/>
        <v>0</v>
      </c>
      <c r="J72" s="709">
        <f t="shared" si="18"/>
        <v>0</v>
      </c>
      <c r="K72" s="221"/>
      <c r="L72" s="221"/>
    </row>
    <row r="73" spans="1:12" hidden="1">
      <c r="A73" s="412" t="str">
        <f>A42</f>
        <v>Maize</v>
      </c>
      <c r="B73" s="436"/>
      <c r="C73" s="415"/>
      <c r="D73" s="709"/>
      <c r="E73" s="709"/>
      <c r="F73" s="709"/>
      <c r="G73" s="709"/>
      <c r="H73" s="709"/>
      <c r="I73" s="709"/>
      <c r="J73" s="709"/>
      <c r="K73" s="221"/>
      <c r="L73" s="221"/>
    </row>
    <row r="74" spans="1:12" hidden="1">
      <c r="A74" s="412" t="s">
        <v>700</v>
      </c>
      <c r="B74" s="436"/>
      <c r="C74" s="415"/>
      <c r="D74" s="709">
        <f>D17*97%</f>
        <v>0</v>
      </c>
      <c r="E74" s="709">
        <f t="shared" ref="E74:J74" si="19">E17*97%</f>
        <v>0</v>
      </c>
      <c r="F74" s="709">
        <f t="shared" si="19"/>
        <v>0</v>
      </c>
      <c r="G74" s="709">
        <f t="shared" si="19"/>
        <v>0</v>
      </c>
      <c r="H74" s="709">
        <f t="shared" si="19"/>
        <v>0</v>
      </c>
      <c r="I74" s="709">
        <f t="shared" si="19"/>
        <v>0</v>
      </c>
      <c r="J74" s="709">
        <f t="shared" si="19"/>
        <v>0</v>
      </c>
      <c r="K74" s="453"/>
      <c r="L74" s="453"/>
    </row>
    <row r="75" spans="1:12" hidden="1">
      <c r="A75" s="412" t="s">
        <v>141</v>
      </c>
      <c r="B75" s="436"/>
      <c r="C75" s="415"/>
      <c r="D75" s="709">
        <f>D17*3%</f>
        <v>0</v>
      </c>
      <c r="E75" s="709">
        <f t="shared" ref="E75:J75" si="20">E17*3%</f>
        <v>0</v>
      </c>
      <c r="F75" s="709">
        <f t="shared" si="20"/>
        <v>0</v>
      </c>
      <c r="G75" s="709">
        <f t="shared" si="20"/>
        <v>0</v>
      </c>
      <c r="H75" s="709">
        <f t="shared" si="20"/>
        <v>0</v>
      </c>
      <c r="I75" s="709">
        <f t="shared" si="20"/>
        <v>0</v>
      </c>
      <c r="J75" s="709">
        <f t="shared" si="20"/>
        <v>0</v>
      </c>
      <c r="K75" s="453"/>
      <c r="L75" s="453"/>
    </row>
    <row r="76" spans="1:12" hidden="1">
      <c r="A76" s="412"/>
      <c r="B76" s="436"/>
      <c r="C76" s="415"/>
      <c r="D76" s="709"/>
      <c r="E76" s="709"/>
      <c r="F76" s="709"/>
      <c r="G76" s="709"/>
      <c r="H76" s="709"/>
      <c r="I76" s="709"/>
      <c r="J76" s="709"/>
      <c r="K76" s="221"/>
      <c r="L76" s="221"/>
    </row>
    <row r="77" spans="1:12" hidden="1">
      <c r="A77" s="412"/>
      <c r="B77" s="436"/>
      <c r="C77" s="415"/>
      <c r="D77" s="709"/>
      <c r="E77" s="709"/>
      <c r="F77" s="709"/>
      <c r="G77" s="709"/>
      <c r="H77" s="709"/>
      <c r="I77" s="709"/>
      <c r="J77" s="709"/>
      <c r="K77" s="221"/>
      <c r="L77" s="221"/>
    </row>
    <row r="78" spans="1:12" hidden="1">
      <c r="A78" s="412" t="str">
        <f>A43</f>
        <v>Black Gram/Udid</v>
      </c>
      <c r="B78" s="436"/>
      <c r="C78" s="415"/>
      <c r="D78" s="709"/>
      <c r="E78" s="709"/>
      <c r="F78" s="709"/>
      <c r="G78" s="709"/>
      <c r="H78" s="709"/>
      <c r="I78" s="709"/>
      <c r="J78" s="709"/>
      <c r="K78" s="221"/>
      <c r="L78" s="221"/>
    </row>
    <row r="79" spans="1:12" hidden="1">
      <c r="A79" s="412" t="s">
        <v>462</v>
      </c>
      <c r="B79" s="436"/>
      <c r="C79" s="415"/>
      <c r="D79" s="710">
        <f t="shared" ref="D79:J79" si="21">D43*80%</f>
        <v>0</v>
      </c>
      <c r="E79" s="710">
        <f t="shared" si="21"/>
        <v>0</v>
      </c>
      <c r="F79" s="710">
        <f t="shared" si="21"/>
        <v>0</v>
      </c>
      <c r="G79" s="710">
        <f t="shared" si="21"/>
        <v>0</v>
      </c>
      <c r="H79" s="710">
        <f t="shared" si="21"/>
        <v>0</v>
      </c>
      <c r="I79" s="710">
        <f t="shared" si="21"/>
        <v>0</v>
      </c>
      <c r="J79" s="710">
        <f t="shared" si="21"/>
        <v>0</v>
      </c>
      <c r="K79" s="452"/>
      <c r="L79" s="452"/>
    </row>
    <row r="80" spans="1:12" hidden="1">
      <c r="A80" s="412" t="s">
        <v>141</v>
      </c>
      <c r="B80" s="436"/>
      <c r="C80" s="415"/>
      <c r="D80" s="709">
        <f t="shared" ref="D80:J80" si="22">D43*20%</f>
        <v>0</v>
      </c>
      <c r="E80" s="709">
        <f t="shared" si="22"/>
        <v>0</v>
      </c>
      <c r="F80" s="709">
        <f t="shared" si="22"/>
        <v>0</v>
      </c>
      <c r="G80" s="709">
        <f t="shared" si="22"/>
        <v>0</v>
      </c>
      <c r="H80" s="709">
        <f t="shared" si="22"/>
        <v>0</v>
      </c>
      <c r="I80" s="709">
        <f t="shared" si="22"/>
        <v>0</v>
      </c>
      <c r="J80" s="709">
        <f t="shared" si="22"/>
        <v>0</v>
      </c>
      <c r="K80" s="221"/>
      <c r="L80" s="221"/>
    </row>
    <row r="81" spans="1:12" hidden="1">
      <c r="A81" s="412" t="str">
        <f>A44</f>
        <v>Bajra</v>
      </c>
      <c r="B81" s="436"/>
      <c r="C81" s="415"/>
      <c r="D81" s="709"/>
      <c r="E81" s="709"/>
      <c r="F81" s="709"/>
      <c r="G81" s="709"/>
      <c r="H81" s="709"/>
      <c r="I81" s="709"/>
      <c r="J81" s="709"/>
      <c r="K81" s="221"/>
      <c r="L81" s="221"/>
    </row>
    <row r="82" spans="1:12" hidden="1">
      <c r="A82" s="412" t="s">
        <v>701</v>
      </c>
      <c r="B82" s="436"/>
      <c r="C82" s="415"/>
      <c r="D82" s="709">
        <f>D19*97%</f>
        <v>0</v>
      </c>
      <c r="E82" s="709">
        <f t="shared" ref="E82:J82" si="23">E19*97%</f>
        <v>0</v>
      </c>
      <c r="F82" s="709">
        <f t="shared" si="23"/>
        <v>0</v>
      </c>
      <c r="G82" s="709">
        <f t="shared" si="23"/>
        <v>0</v>
      </c>
      <c r="H82" s="709">
        <f t="shared" si="23"/>
        <v>0</v>
      </c>
      <c r="I82" s="709">
        <f t="shared" si="23"/>
        <v>0</v>
      </c>
      <c r="J82" s="709">
        <f t="shared" si="23"/>
        <v>0</v>
      </c>
      <c r="K82" s="453"/>
      <c r="L82" s="453"/>
    </row>
    <row r="83" spans="1:12" hidden="1">
      <c r="A83" s="412" t="s">
        <v>141</v>
      </c>
      <c r="B83" s="436"/>
      <c r="C83" s="415"/>
      <c r="D83" s="709">
        <f>D19*3%</f>
        <v>0</v>
      </c>
      <c r="E83" s="709">
        <f t="shared" ref="E83:J83" si="24">E19*3%</f>
        <v>0</v>
      </c>
      <c r="F83" s="709">
        <f t="shared" si="24"/>
        <v>0</v>
      </c>
      <c r="G83" s="709">
        <f t="shared" si="24"/>
        <v>0</v>
      </c>
      <c r="H83" s="709">
        <f t="shared" si="24"/>
        <v>0</v>
      </c>
      <c r="I83" s="709">
        <f t="shared" si="24"/>
        <v>0</v>
      </c>
      <c r="J83" s="709">
        <f t="shared" si="24"/>
        <v>0</v>
      </c>
      <c r="K83" s="453"/>
      <c r="L83" s="453"/>
    </row>
    <row r="84" spans="1:12" hidden="1">
      <c r="A84" s="412" t="str">
        <f>A45</f>
        <v>Jawar</v>
      </c>
      <c r="B84" s="436"/>
      <c r="C84" s="415"/>
      <c r="D84" s="709"/>
      <c r="E84" s="709"/>
      <c r="F84" s="709"/>
      <c r="G84" s="709"/>
      <c r="H84" s="709"/>
      <c r="I84" s="709"/>
      <c r="J84" s="709"/>
      <c r="K84" s="221"/>
      <c r="L84" s="221"/>
    </row>
    <row r="85" spans="1:12" hidden="1">
      <c r="A85" s="412" t="s">
        <v>702</v>
      </c>
      <c r="B85" s="436"/>
      <c r="C85" s="415"/>
      <c r="D85" s="709">
        <f>D45*97%</f>
        <v>0</v>
      </c>
      <c r="E85" s="709">
        <f t="shared" ref="E85:J85" si="25">E45*97%</f>
        <v>0</v>
      </c>
      <c r="F85" s="709">
        <f t="shared" si="25"/>
        <v>0</v>
      </c>
      <c r="G85" s="709">
        <f t="shared" si="25"/>
        <v>0</v>
      </c>
      <c r="H85" s="709">
        <f t="shared" si="25"/>
        <v>0</v>
      </c>
      <c r="I85" s="709">
        <f t="shared" si="25"/>
        <v>0</v>
      </c>
      <c r="J85" s="709">
        <f t="shared" si="25"/>
        <v>0</v>
      </c>
      <c r="K85" s="453"/>
      <c r="L85" s="453"/>
    </row>
    <row r="86" spans="1:12" hidden="1">
      <c r="A86" s="412" t="s">
        <v>141</v>
      </c>
      <c r="B86" s="436"/>
      <c r="C86" s="415"/>
      <c r="D86" s="709">
        <f>D45*3%</f>
        <v>0</v>
      </c>
      <c r="E86" s="709">
        <f t="shared" ref="E86:J86" si="26">E45*3%</f>
        <v>0</v>
      </c>
      <c r="F86" s="709">
        <f t="shared" si="26"/>
        <v>0</v>
      </c>
      <c r="G86" s="709">
        <f t="shared" si="26"/>
        <v>0</v>
      </c>
      <c r="H86" s="709">
        <f t="shared" si="26"/>
        <v>0</v>
      </c>
      <c r="I86" s="709">
        <f t="shared" si="26"/>
        <v>0</v>
      </c>
      <c r="J86" s="709">
        <f t="shared" si="26"/>
        <v>0</v>
      </c>
      <c r="K86" s="453"/>
      <c r="L86" s="453"/>
    </row>
    <row r="87" spans="1:12" hidden="1">
      <c r="A87" s="412"/>
      <c r="B87" s="436"/>
      <c r="C87" s="415"/>
      <c r="D87" s="709"/>
      <c r="E87" s="709"/>
      <c r="F87" s="709"/>
      <c r="G87" s="709"/>
      <c r="H87" s="709"/>
      <c r="I87" s="709"/>
      <c r="J87" s="709"/>
      <c r="K87" s="221"/>
      <c r="L87" s="221"/>
    </row>
    <row r="88" spans="1:12" hidden="1">
      <c r="A88" s="412" t="str">
        <f>A46</f>
        <v>Sunflower</v>
      </c>
      <c r="B88" s="436"/>
      <c r="C88" s="415"/>
      <c r="D88" s="709"/>
      <c r="E88" s="709"/>
      <c r="F88" s="709"/>
      <c r="G88" s="709"/>
      <c r="H88" s="709"/>
      <c r="I88" s="709"/>
      <c r="J88" s="709"/>
      <c r="K88" s="221"/>
      <c r="L88" s="221"/>
    </row>
    <row r="89" spans="1:12" hidden="1">
      <c r="A89" s="412"/>
      <c r="B89" s="436"/>
      <c r="C89" s="415"/>
      <c r="D89" s="709"/>
      <c r="E89" s="709"/>
      <c r="F89" s="709"/>
      <c r="G89" s="709"/>
      <c r="H89" s="709"/>
      <c r="I89" s="709"/>
      <c r="J89" s="709"/>
      <c r="K89" s="221"/>
      <c r="L89" s="221"/>
    </row>
    <row r="90" spans="1:12" hidden="1">
      <c r="A90" s="412"/>
      <c r="B90" s="436"/>
      <c r="C90" s="415"/>
      <c r="D90" s="709"/>
      <c r="E90" s="709"/>
      <c r="F90" s="709"/>
      <c r="G90" s="709"/>
      <c r="H90" s="709"/>
      <c r="I90" s="709"/>
      <c r="J90" s="709"/>
      <c r="K90" s="221"/>
      <c r="L90" s="221"/>
    </row>
    <row r="91" spans="1:12" hidden="1">
      <c r="A91" s="412"/>
      <c r="B91" s="436"/>
      <c r="C91" s="415"/>
      <c r="D91" s="709"/>
      <c r="E91" s="709"/>
      <c r="F91" s="709"/>
      <c r="G91" s="709"/>
      <c r="H91" s="709"/>
      <c r="I91" s="709"/>
      <c r="J91" s="709"/>
      <c r="K91" s="221"/>
      <c r="L91" s="221"/>
    </row>
    <row r="92" spans="1:12" hidden="1">
      <c r="A92" s="412" t="str">
        <f>A47</f>
        <v>Wheat</v>
      </c>
      <c r="B92" s="436"/>
      <c r="C92" s="415"/>
      <c r="D92" s="709"/>
      <c r="E92" s="709"/>
      <c r="F92" s="709"/>
      <c r="G92" s="709"/>
      <c r="H92" s="709"/>
      <c r="I92" s="709"/>
      <c r="J92" s="709"/>
      <c r="K92" s="221"/>
      <c r="L92" s="221"/>
    </row>
    <row r="93" spans="1:12" hidden="1">
      <c r="A93" s="412" t="s">
        <v>699</v>
      </c>
      <c r="B93" s="436"/>
      <c r="C93" s="415"/>
      <c r="D93" s="709">
        <f>D47*98%</f>
        <v>0</v>
      </c>
      <c r="E93" s="709">
        <f t="shared" ref="E93:J93" si="27">E47*98%</f>
        <v>0</v>
      </c>
      <c r="F93" s="709">
        <f t="shared" si="27"/>
        <v>0</v>
      </c>
      <c r="G93" s="709">
        <f t="shared" si="27"/>
        <v>0</v>
      </c>
      <c r="H93" s="709">
        <f t="shared" si="27"/>
        <v>0</v>
      </c>
      <c r="I93" s="709">
        <f t="shared" si="27"/>
        <v>0</v>
      </c>
      <c r="J93" s="709">
        <f t="shared" si="27"/>
        <v>0</v>
      </c>
      <c r="K93" s="453"/>
      <c r="L93" s="453"/>
    </row>
    <row r="94" spans="1:12" hidden="1">
      <c r="A94" s="412" t="s">
        <v>141</v>
      </c>
      <c r="B94" s="436"/>
      <c r="C94" s="415"/>
      <c r="D94" s="709">
        <f>D47*2%</f>
        <v>0</v>
      </c>
      <c r="E94" s="709">
        <f t="shared" ref="E94:J94" si="28">E47*2%</f>
        <v>0</v>
      </c>
      <c r="F94" s="709">
        <f t="shared" si="28"/>
        <v>0</v>
      </c>
      <c r="G94" s="709">
        <f t="shared" si="28"/>
        <v>0</v>
      </c>
      <c r="H94" s="709">
        <f t="shared" si="28"/>
        <v>0</v>
      </c>
      <c r="I94" s="709">
        <f t="shared" si="28"/>
        <v>0</v>
      </c>
      <c r="J94" s="709">
        <f t="shared" si="28"/>
        <v>0</v>
      </c>
      <c r="K94" s="453"/>
      <c r="L94" s="453"/>
    </row>
    <row r="95" spans="1:12">
      <c r="A95" s="412" t="str">
        <f>A48</f>
        <v>Bengal Gram/Channa</v>
      </c>
      <c r="B95" s="436"/>
      <c r="C95" s="415"/>
      <c r="D95" s="709"/>
      <c r="E95" s="709"/>
      <c r="F95" s="709"/>
      <c r="G95" s="709"/>
      <c r="H95" s="709"/>
      <c r="I95" s="709"/>
      <c r="J95" s="709"/>
      <c r="K95" s="221"/>
      <c r="L95" s="221"/>
    </row>
    <row r="96" spans="1:12" s="288" customFormat="1">
      <c r="A96" s="412" t="s">
        <v>2093</v>
      </c>
      <c r="B96" s="436"/>
      <c r="C96" s="415"/>
      <c r="D96" s="710">
        <f>D48*65%</f>
        <v>2213.6832900000009</v>
      </c>
      <c r="E96" s="710">
        <f t="shared" ref="E96:J96" si="29">E48*65%</f>
        <v>2435.0516190000012</v>
      </c>
      <c r="F96" s="710">
        <f t="shared" si="29"/>
        <v>2656.4199480000011</v>
      </c>
      <c r="G96" s="710">
        <f t="shared" si="29"/>
        <v>2877.7882770000019</v>
      </c>
      <c r="H96" s="710">
        <f t="shared" si="29"/>
        <v>3099.1566060000014</v>
      </c>
      <c r="I96" s="710">
        <f t="shared" si="29"/>
        <v>3320.5249350000017</v>
      </c>
      <c r="J96" s="710">
        <f t="shared" si="29"/>
        <v>3541.8932640000021</v>
      </c>
      <c r="K96" s="454"/>
      <c r="L96" s="454"/>
    </row>
    <row r="97" spans="1:12" s="288" customFormat="1" hidden="1">
      <c r="A97" s="412" t="s">
        <v>2094</v>
      </c>
      <c r="B97" s="436"/>
      <c r="C97" s="415"/>
      <c r="D97" s="710">
        <f>D48*25%</f>
        <v>851.41665000000023</v>
      </c>
      <c r="E97" s="710">
        <f t="shared" ref="E97:J97" si="30">E48*25%</f>
        <v>936.55831500000045</v>
      </c>
      <c r="F97" s="710">
        <f t="shared" si="30"/>
        <v>1021.6999800000004</v>
      </c>
      <c r="G97" s="710">
        <f t="shared" si="30"/>
        <v>1106.8416450000007</v>
      </c>
      <c r="H97" s="710">
        <f t="shared" si="30"/>
        <v>1191.9833100000005</v>
      </c>
      <c r="I97" s="710">
        <f t="shared" si="30"/>
        <v>1277.1249750000006</v>
      </c>
      <c r="J97" s="710">
        <f t="shared" si="30"/>
        <v>1362.2666400000007</v>
      </c>
      <c r="K97" s="454"/>
      <c r="L97" s="454"/>
    </row>
    <row r="98" spans="1:12" s="288" customFormat="1">
      <c r="A98" s="412"/>
      <c r="B98" s="436"/>
      <c r="C98" s="415"/>
      <c r="D98" s="710"/>
      <c r="E98" s="710"/>
      <c r="F98" s="710"/>
      <c r="G98" s="710"/>
      <c r="H98" s="710"/>
      <c r="I98" s="710"/>
      <c r="J98" s="710"/>
      <c r="K98" s="454"/>
      <c r="L98" s="454"/>
    </row>
    <row r="99" spans="1:12">
      <c r="A99" s="412" t="s">
        <v>141</v>
      </c>
      <c r="B99" s="436"/>
      <c r="C99" s="415"/>
      <c r="D99" s="710">
        <f>D48*10%</f>
        <v>340.56666000000013</v>
      </c>
      <c r="E99" s="710">
        <f t="shared" ref="E99:J99" si="31">E48*10%</f>
        <v>374.62332600000019</v>
      </c>
      <c r="F99" s="710">
        <f t="shared" si="31"/>
        <v>408.6799920000002</v>
      </c>
      <c r="G99" s="710">
        <f t="shared" si="31"/>
        <v>442.73665800000026</v>
      </c>
      <c r="H99" s="710">
        <f t="shared" si="31"/>
        <v>476.79332400000021</v>
      </c>
      <c r="I99" s="710">
        <f t="shared" si="31"/>
        <v>510.84999000000028</v>
      </c>
      <c r="J99" s="710">
        <f t="shared" si="31"/>
        <v>544.90665600000034</v>
      </c>
      <c r="K99" s="221"/>
      <c r="L99" s="221"/>
    </row>
    <row r="100" spans="1:12" hidden="1">
      <c r="A100" s="412" t="s">
        <v>2055</v>
      </c>
      <c r="B100" s="436"/>
      <c r="C100" s="415"/>
      <c r="D100" s="709"/>
      <c r="E100" s="709"/>
      <c r="F100" s="709"/>
      <c r="G100" s="709"/>
      <c r="H100" s="709"/>
      <c r="I100" s="709"/>
      <c r="J100" s="709"/>
      <c r="K100" s="221"/>
      <c r="L100" s="221"/>
    </row>
    <row r="101" spans="1:12" hidden="1">
      <c r="A101" s="412" t="s">
        <v>141</v>
      </c>
      <c r="B101" s="436"/>
      <c r="C101" s="415"/>
      <c r="D101" s="292">
        <f t="shared" ref="D101:J101" si="32">D24*3%</f>
        <v>0</v>
      </c>
      <c r="E101" s="292">
        <f t="shared" si="32"/>
        <v>0</v>
      </c>
      <c r="F101" s="292">
        <f t="shared" si="32"/>
        <v>0</v>
      </c>
      <c r="G101" s="292">
        <f t="shared" si="32"/>
        <v>0</v>
      </c>
      <c r="H101" s="292">
        <f t="shared" si="32"/>
        <v>0</v>
      </c>
      <c r="I101" s="292">
        <f t="shared" si="32"/>
        <v>0</v>
      </c>
      <c r="J101" s="292">
        <f t="shared" si="32"/>
        <v>0</v>
      </c>
      <c r="K101" s="453"/>
      <c r="L101" s="453"/>
    </row>
    <row r="102" spans="1:12" hidden="1">
      <c r="A102" s="412" t="str">
        <f>A50</f>
        <v>Maize</v>
      </c>
      <c r="B102" s="436"/>
      <c r="C102" s="415"/>
      <c r="D102" s="70"/>
      <c r="E102" s="70"/>
      <c r="F102" s="70"/>
      <c r="G102" s="70"/>
      <c r="H102" s="70"/>
      <c r="I102" s="70"/>
      <c r="J102" s="70"/>
      <c r="K102" s="221"/>
      <c r="L102" s="221"/>
    </row>
    <row r="103" spans="1:12" hidden="1">
      <c r="A103" s="412" t="s">
        <v>700</v>
      </c>
      <c r="B103" s="436"/>
      <c r="C103" s="415"/>
      <c r="D103" s="292">
        <f t="shared" ref="D103:J103" si="33">D25*97%</f>
        <v>0</v>
      </c>
      <c r="E103" s="292">
        <f t="shared" si="33"/>
        <v>0</v>
      </c>
      <c r="F103" s="292">
        <f t="shared" si="33"/>
        <v>0</v>
      </c>
      <c r="G103" s="292">
        <f t="shared" si="33"/>
        <v>0</v>
      </c>
      <c r="H103" s="292">
        <f t="shared" si="33"/>
        <v>0</v>
      </c>
      <c r="I103" s="292">
        <f t="shared" si="33"/>
        <v>0</v>
      </c>
      <c r="J103" s="292">
        <f t="shared" si="33"/>
        <v>0</v>
      </c>
      <c r="K103" s="453"/>
      <c r="L103" s="453"/>
    </row>
    <row r="104" spans="1:12" hidden="1">
      <c r="A104" s="412" t="s">
        <v>141</v>
      </c>
      <c r="B104" s="436"/>
      <c r="C104" s="415"/>
      <c r="D104" s="292">
        <f t="shared" ref="D104:J104" si="34">D25*3%</f>
        <v>0</v>
      </c>
      <c r="E104" s="292">
        <f t="shared" si="34"/>
        <v>0</v>
      </c>
      <c r="F104" s="292">
        <f t="shared" si="34"/>
        <v>0</v>
      </c>
      <c r="G104" s="292">
        <f t="shared" si="34"/>
        <v>0</v>
      </c>
      <c r="H104" s="292">
        <f t="shared" si="34"/>
        <v>0</v>
      </c>
      <c r="I104" s="292">
        <f t="shared" si="34"/>
        <v>0</v>
      </c>
      <c r="J104" s="292">
        <f t="shared" si="34"/>
        <v>0</v>
      </c>
      <c r="K104" s="453"/>
      <c r="L104" s="453"/>
    </row>
    <row r="105" spans="1:12" hidden="1">
      <c r="A105" s="412" t="str">
        <f>A51</f>
        <v>Safflower</v>
      </c>
      <c r="B105" s="436"/>
      <c r="C105" s="415"/>
      <c r="D105" s="70"/>
      <c r="E105" s="70"/>
      <c r="F105" s="70"/>
      <c r="G105" s="70"/>
      <c r="H105" s="70"/>
      <c r="I105" s="70"/>
      <c r="J105" s="70"/>
      <c r="K105" s="221"/>
      <c r="L105" s="221"/>
    </row>
    <row r="106" spans="1:12" hidden="1">
      <c r="A106" s="412"/>
      <c r="B106" s="436"/>
      <c r="C106" s="415"/>
      <c r="D106" s="70"/>
      <c r="E106" s="70"/>
      <c r="F106" s="70"/>
      <c r="G106" s="70"/>
      <c r="H106" s="70"/>
      <c r="I106" s="70"/>
      <c r="J106" s="70"/>
      <c r="K106" s="221"/>
      <c r="L106" s="221"/>
    </row>
    <row r="107" spans="1:12" hidden="1">
      <c r="A107" s="412"/>
      <c r="B107" s="436"/>
      <c r="C107" s="415"/>
      <c r="D107" s="70"/>
      <c r="E107" s="70"/>
      <c r="F107" s="70"/>
      <c r="G107" s="70"/>
      <c r="H107" s="70"/>
      <c r="I107" s="70"/>
      <c r="J107" s="70"/>
      <c r="K107" s="221"/>
      <c r="L107" s="221"/>
    </row>
    <row r="108" spans="1:12" hidden="1">
      <c r="A108" s="412">
        <f>A52</f>
        <v>0</v>
      </c>
      <c r="B108" s="436"/>
      <c r="C108" s="415"/>
      <c r="D108" s="70"/>
      <c r="E108" s="70"/>
      <c r="F108" s="70"/>
      <c r="G108" s="70"/>
      <c r="H108" s="70"/>
      <c r="I108" s="70"/>
      <c r="J108" s="70"/>
      <c r="K108" s="221"/>
      <c r="L108" s="221"/>
    </row>
    <row r="109" spans="1:12" hidden="1">
      <c r="A109" s="412"/>
      <c r="B109" s="436"/>
      <c r="C109" s="415"/>
      <c r="D109" s="70"/>
      <c r="E109" s="70"/>
      <c r="F109" s="70"/>
      <c r="G109" s="70"/>
      <c r="H109" s="70"/>
      <c r="I109" s="70"/>
      <c r="J109" s="70"/>
      <c r="K109" s="221"/>
      <c r="L109" s="221"/>
    </row>
    <row r="110" spans="1:12" hidden="1">
      <c r="A110" s="412"/>
      <c r="B110" s="436"/>
      <c r="C110" s="415"/>
      <c r="D110" s="70"/>
      <c r="E110" s="70"/>
      <c r="F110" s="70"/>
      <c r="G110" s="70"/>
      <c r="H110" s="70"/>
      <c r="I110" s="70"/>
      <c r="J110" s="70"/>
      <c r="K110" s="221"/>
      <c r="L110" s="221"/>
    </row>
    <row r="111" spans="1:12" hidden="1">
      <c r="A111" s="412">
        <f>A53</f>
        <v>0</v>
      </c>
      <c r="B111" s="436"/>
      <c r="C111" s="415"/>
      <c r="D111" s="70"/>
      <c r="E111" s="70"/>
      <c r="F111" s="70"/>
      <c r="G111" s="70"/>
      <c r="H111" s="70"/>
      <c r="I111" s="70"/>
      <c r="J111" s="70"/>
      <c r="K111" s="221"/>
      <c r="L111" s="221"/>
    </row>
    <row r="112" spans="1:12" hidden="1">
      <c r="A112" s="412"/>
      <c r="B112" s="436"/>
      <c r="C112" s="415"/>
      <c r="D112" s="70"/>
      <c r="E112" s="70"/>
      <c r="F112" s="70"/>
      <c r="G112" s="70"/>
      <c r="H112" s="70"/>
      <c r="I112" s="70"/>
      <c r="J112" s="70"/>
      <c r="K112" s="221"/>
      <c r="L112" s="221"/>
    </row>
    <row r="113" spans="1:12" hidden="1">
      <c r="A113" s="412"/>
      <c r="B113" s="436"/>
      <c r="C113" s="415"/>
      <c r="D113" s="70"/>
      <c r="E113" s="70"/>
      <c r="F113" s="70"/>
      <c r="G113" s="70"/>
      <c r="H113" s="70"/>
      <c r="I113" s="70"/>
      <c r="J113" s="70"/>
      <c r="K113" s="221"/>
      <c r="L113" s="221"/>
    </row>
    <row r="114" spans="1:12" hidden="1">
      <c r="A114" s="412">
        <f>A54</f>
        <v>0</v>
      </c>
      <c r="B114" s="436"/>
      <c r="C114" s="415"/>
      <c r="D114" s="70"/>
      <c r="E114" s="70"/>
      <c r="F114" s="70"/>
      <c r="G114" s="70"/>
      <c r="H114" s="70"/>
      <c r="I114" s="70"/>
      <c r="J114" s="70"/>
      <c r="K114" s="221"/>
      <c r="L114" s="221"/>
    </row>
    <row r="115" spans="1:12" hidden="1">
      <c r="A115" s="412"/>
      <c r="B115" s="436"/>
      <c r="C115" s="415"/>
      <c r="D115" s="70"/>
      <c r="E115" s="70"/>
      <c r="F115" s="70"/>
      <c r="G115" s="70"/>
      <c r="H115" s="70"/>
      <c r="I115" s="70"/>
      <c r="J115" s="70"/>
      <c r="K115" s="221"/>
      <c r="L115" s="221"/>
    </row>
    <row r="116" spans="1:12" hidden="1">
      <c r="A116" s="412"/>
      <c r="B116" s="436"/>
      <c r="C116" s="415"/>
      <c r="D116" s="70"/>
      <c r="E116" s="70"/>
      <c r="F116" s="70"/>
      <c r="G116" s="70"/>
      <c r="H116" s="70"/>
      <c r="I116" s="70"/>
      <c r="J116" s="70"/>
      <c r="K116" s="221"/>
      <c r="L116" s="221"/>
    </row>
    <row r="117" spans="1:12" hidden="1">
      <c r="A117" s="412" t="str">
        <f>A55</f>
        <v>Groundnut</v>
      </c>
      <c r="B117" s="436"/>
      <c r="C117" s="415"/>
      <c r="D117" s="70"/>
      <c r="E117" s="70"/>
      <c r="F117" s="70"/>
      <c r="G117" s="70"/>
      <c r="H117" s="70"/>
      <c r="I117" s="70"/>
      <c r="J117" s="70"/>
      <c r="K117" s="221"/>
      <c r="L117" s="221"/>
    </row>
    <row r="118" spans="1:12" hidden="1">
      <c r="A118" s="412"/>
      <c r="B118" s="436"/>
      <c r="C118" s="415"/>
      <c r="D118" s="70"/>
      <c r="E118" s="70"/>
      <c r="F118" s="70"/>
      <c r="G118" s="70"/>
      <c r="H118" s="70"/>
      <c r="I118" s="70"/>
      <c r="J118" s="70"/>
      <c r="K118" s="221"/>
      <c r="L118" s="221"/>
    </row>
    <row r="119" spans="1:12" hidden="1">
      <c r="A119" s="412"/>
      <c r="B119" s="436"/>
      <c r="C119" s="415"/>
      <c r="D119" s="70"/>
      <c r="E119" s="70"/>
      <c r="F119" s="70"/>
      <c r="G119" s="70"/>
      <c r="H119" s="70"/>
      <c r="I119" s="70"/>
      <c r="J119" s="70"/>
      <c r="K119" s="221"/>
      <c r="L119" s="221"/>
    </row>
    <row r="120" spans="1:12" hidden="1">
      <c r="A120" s="412">
        <f>A56</f>
        <v>0</v>
      </c>
      <c r="B120" s="436"/>
      <c r="C120" s="415"/>
      <c r="D120" s="70"/>
      <c r="E120" s="70"/>
      <c r="F120" s="70"/>
      <c r="G120" s="70"/>
      <c r="H120" s="70"/>
      <c r="I120" s="70"/>
      <c r="J120" s="70"/>
      <c r="K120" s="221"/>
      <c r="L120" s="221"/>
    </row>
    <row r="121" spans="1:12" hidden="1">
      <c r="A121" s="412"/>
      <c r="B121" s="436"/>
      <c r="C121" s="415"/>
      <c r="D121" s="70"/>
      <c r="E121" s="70"/>
      <c r="F121" s="70"/>
      <c r="G121" s="70"/>
      <c r="H121" s="70"/>
      <c r="I121" s="70"/>
      <c r="J121" s="70"/>
      <c r="K121" s="221"/>
      <c r="L121" s="221"/>
    </row>
    <row r="122" spans="1:12" hidden="1">
      <c r="A122" s="412"/>
      <c r="B122" s="436"/>
      <c r="C122" s="415"/>
      <c r="D122" s="70"/>
      <c r="E122" s="70"/>
      <c r="F122" s="70"/>
      <c r="G122" s="70"/>
      <c r="H122" s="70"/>
      <c r="I122" s="70"/>
      <c r="J122" s="70"/>
      <c r="K122" s="221"/>
      <c r="L122" s="221"/>
    </row>
    <row r="123" spans="1:12" hidden="1">
      <c r="A123" s="412">
        <f>A57</f>
        <v>0</v>
      </c>
      <c r="B123" s="436"/>
      <c r="C123" s="415"/>
      <c r="D123" s="70"/>
      <c r="E123" s="70"/>
      <c r="F123" s="70"/>
      <c r="G123" s="70"/>
      <c r="H123" s="70"/>
      <c r="I123" s="70"/>
      <c r="J123" s="70"/>
      <c r="K123" s="221"/>
      <c r="L123" s="221"/>
    </row>
    <row r="124" spans="1:12">
      <c r="A124" s="68"/>
      <c r="B124" s="221"/>
      <c r="C124" s="221"/>
      <c r="D124" s="221"/>
      <c r="E124" s="221"/>
      <c r="F124" s="221"/>
      <c r="G124" s="221"/>
      <c r="H124" s="221"/>
    </row>
    <row r="125" spans="1:12">
      <c r="A125" s="68"/>
      <c r="B125" s="221"/>
      <c r="C125" s="221"/>
      <c r="D125" s="221"/>
      <c r="E125" s="221"/>
      <c r="F125" s="221"/>
      <c r="G125" s="221"/>
      <c r="H125" s="221"/>
      <c r="L125" s="287"/>
    </row>
    <row r="126" spans="1:12">
      <c r="A126" s="68" t="s">
        <v>449</v>
      </c>
      <c r="B126">
        <v>50</v>
      </c>
    </row>
    <row r="131" spans="1:20" hidden="1"/>
    <row r="132" spans="1:20" hidden="1"/>
    <row r="133" spans="1:20" ht="18.75">
      <c r="A133" s="724" t="s">
        <v>2100</v>
      </c>
      <c r="B133" s="724"/>
      <c r="C133" s="724"/>
      <c r="D133" s="724"/>
      <c r="E133" s="724"/>
      <c r="F133" s="724"/>
      <c r="G133" s="724"/>
      <c r="H133" s="724"/>
      <c r="I133" s="724"/>
      <c r="J133" s="724"/>
      <c r="K133" s="405"/>
      <c r="L133" s="405"/>
    </row>
    <row r="134" spans="1:20" ht="8.25" customHeight="1">
      <c r="A134" s="11"/>
      <c r="B134" s="11"/>
      <c r="C134" s="11"/>
      <c r="D134" s="11"/>
      <c r="E134" s="11"/>
      <c r="F134" s="11"/>
      <c r="G134" s="11"/>
      <c r="H134" s="11"/>
    </row>
    <row r="135" spans="1:20">
      <c r="A135" s="156"/>
      <c r="B135" s="156"/>
      <c r="C135" s="156"/>
      <c r="D135" s="157">
        <v>1</v>
      </c>
      <c r="E135" s="158">
        <f t="shared" ref="E135:J135" si="35">(D135*5%)+D135</f>
        <v>1.05</v>
      </c>
      <c r="F135" s="158">
        <f t="shared" si="35"/>
        <v>1.1025</v>
      </c>
      <c r="G135" s="158">
        <f t="shared" si="35"/>
        <v>1.1576250000000001</v>
      </c>
      <c r="H135" s="158">
        <f t="shared" si="35"/>
        <v>1.2155062500000002</v>
      </c>
      <c r="I135" s="158">
        <f t="shared" si="35"/>
        <v>1.2762815625000004</v>
      </c>
      <c r="J135" s="158">
        <f t="shared" si="35"/>
        <v>1.3400956406250004</v>
      </c>
      <c r="K135" s="158"/>
      <c r="L135" s="158"/>
    </row>
    <row r="136" spans="1:20" ht="5.25" customHeight="1">
      <c r="A136" s="68"/>
      <c r="B136" s="68"/>
      <c r="C136" s="68"/>
      <c r="D136" s="68"/>
      <c r="E136" s="150"/>
      <c r="F136" s="68"/>
      <c r="G136" s="68"/>
      <c r="H136" s="68"/>
      <c r="I136" s="68"/>
      <c r="J136" s="68"/>
      <c r="K136" s="68"/>
      <c r="L136" s="68"/>
    </row>
    <row r="137" spans="1:20">
      <c r="A137" s="119" t="s">
        <v>0</v>
      </c>
      <c r="B137" s="119" t="s">
        <v>132</v>
      </c>
      <c r="C137" s="119" t="s">
        <v>153</v>
      </c>
      <c r="D137" s="91" t="s">
        <v>2</v>
      </c>
      <c r="E137" s="91" t="s">
        <v>3</v>
      </c>
      <c r="F137" s="91" t="s">
        <v>4</v>
      </c>
      <c r="G137" s="91" t="s">
        <v>5</v>
      </c>
      <c r="H137" s="91" t="s">
        <v>6</v>
      </c>
      <c r="I137" s="91" t="s">
        <v>170</v>
      </c>
      <c r="J137" s="91" t="s">
        <v>169</v>
      </c>
      <c r="K137" s="455"/>
      <c r="L137" s="455"/>
    </row>
    <row r="138" spans="1:20" ht="9" customHeight="1">
      <c r="A138" s="69"/>
      <c r="B138" s="69"/>
      <c r="C138" s="69"/>
      <c r="D138" s="69"/>
      <c r="E138" s="69"/>
      <c r="F138" s="69"/>
      <c r="G138" s="69"/>
      <c r="H138" s="69"/>
      <c r="I138" s="69"/>
      <c r="J138" s="69"/>
      <c r="K138" s="68"/>
      <c r="L138" s="68"/>
    </row>
    <row r="139" spans="1:20">
      <c r="A139" s="71" t="s">
        <v>126</v>
      </c>
      <c r="B139" s="71"/>
      <c r="C139" s="71"/>
      <c r="D139" s="86"/>
      <c r="E139" s="86"/>
      <c r="F139" s="86"/>
      <c r="G139" s="86"/>
      <c r="H139" s="86"/>
      <c r="I139" s="69"/>
      <c r="J139" s="69"/>
      <c r="K139" s="68"/>
      <c r="L139" s="68"/>
    </row>
    <row r="140" spans="1:20">
      <c r="A140" s="71" t="s">
        <v>320</v>
      </c>
      <c r="B140" s="71"/>
      <c r="C140" s="71"/>
      <c r="D140" s="69"/>
      <c r="E140" s="69"/>
      <c r="F140" s="69"/>
      <c r="G140" s="69"/>
      <c r="H140" s="69"/>
      <c r="I140" s="86"/>
      <c r="J140" s="69"/>
      <c r="K140" s="68"/>
      <c r="L140" s="68"/>
    </row>
    <row r="141" spans="1:20">
      <c r="A141" s="164" t="s">
        <v>164</v>
      </c>
      <c r="B141" s="164" t="s">
        <v>363</v>
      </c>
      <c r="C141" s="164">
        <f>70*50</f>
        <v>3500</v>
      </c>
      <c r="D141" s="159">
        <f>(((D96*100)*(1-'5.Closing Stock &amp; W Capital'!$D$17))/$B$126)*$C$141*D135</f>
        <v>14720993.878500003</v>
      </c>
      <c r="E141" s="70">
        <f>E135*((((E96*100)*(1-'5.Closing Stock &amp; W Capital'!$D$17))+((D96*100)*'5.Closing Stock &amp; W Capital'!$D$17))/$B$126)*$C$141</f>
        <v>17816276.538742509</v>
      </c>
      <c r="F141" s="70">
        <f>F135*((((F96*100)*(1-'5.Closing Stock &amp; W Capital'!$D$17))+((E96*100)*'5.Closing Stock &amp; W Capital'!$D$17))/$B$126)*$C$141</f>
        <v>20415500.444737136</v>
      </c>
      <c r="G141" s="70">
        <f>G135*((((G96*100)*(1-'5.Closing Stock &amp; W Capital'!$D$17))+((F96*100)*'5.Closing Stock &amp; W Capital'!$D$17))/$B$126)*$C$141</f>
        <v>23230106.049984377</v>
      </c>
      <c r="H141" s="70">
        <f>H135*((((H96*100)*(1-'5.Closing Stock &amp; W Capital'!$D$17))+((G96*100)*'5.Closing Stock &amp; W Capital'!$D$17))/$B$126)*$C$141</f>
        <v>26275133.464644488</v>
      </c>
      <c r="I141" s="70">
        <f>I135*((((I96*100)*(1-'5.Closing Stock &amp; W Capital'!$D$17))+((H96*100)*'5.Closing Stock &amp; W Capital'!$D$17))/$B$126)*$C$141</f>
        <v>29566588.355645653</v>
      </c>
      <c r="J141" s="70">
        <f>J135*((((J96*100)*(1-'5.Closing Stock &amp; W Capital'!$D$17))+((I96*100)*'5.Closing Stock &amp; W Capital'!$D$17))/$B$126)*$C$141</f>
        <v>33121500.90208533</v>
      </c>
      <c r="K141" s="221"/>
      <c r="L141" s="457"/>
      <c r="O141" s="51"/>
      <c r="R141" s="287"/>
      <c r="T141" s="287"/>
    </row>
    <row r="142" spans="1:20">
      <c r="A142" s="164" t="s">
        <v>165</v>
      </c>
      <c r="B142" s="164" t="s">
        <v>363</v>
      </c>
      <c r="C142" s="164">
        <f>75*50</f>
        <v>3750</v>
      </c>
      <c r="D142" s="159">
        <f>(((D64*100)*(1-'5.Closing Stock &amp; W Capital'!$D$17))/B126)*$C$142*D135</f>
        <v>23263699.864608005</v>
      </c>
      <c r="E142" s="70">
        <f>((((E64*100)*(1-'5.Closing Stock &amp; W Capital'!$D$17))+((D64*100)*'5.Closing Stock &amp; W Capital'!$D$17))/$B$126)*$C$142*E135</f>
        <v>28155198.862455852</v>
      </c>
      <c r="F142" s="70">
        <f>((((F64*100)*(1-'5.Closing Stock &amp; W Capital'!$D$17))+((E64*100)*'5.Closing Stock &amp; W Capital'!$D$17))/$B$126)*$C$142*F135</f>
        <v>32262772.395129204</v>
      </c>
      <c r="G142" s="70">
        <f>((((G64*100)*(1-'5.Closing Stock &amp; W Capital'!$D$17))+((F64*100)*'5.Closing Stock &amp; W Capital'!$D$17))/$B$126)*$C$142*G135</f>
        <v>36710715.283913769</v>
      </c>
      <c r="H142" s="70">
        <f>((((H64*100)*(1-'5.Closing Stock &amp; W Capital'!$D$17))+((G64*100)*'5.Closing Stock &amp; W Capital'!$D$17))/$B$126)*$C$142*H135</f>
        <v>41522795.530588932</v>
      </c>
      <c r="I142" s="70">
        <f>((((I64*100)*(1-'5.Closing Stock &amp; W Capital'!$D$17))+((H64*100)*'5.Closing Stock &amp; W Capital'!$D$17))/$B$126)*$C$142*I135</f>
        <v>46724307.013721868</v>
      </c>
      <c r="J142" s="70">
        <f>((((J64*100)*(1-'5.Closing Stock &amp; W Capital'!$D$17))+((I64*100)*'5.Closing Stock &amp; W Capital'!$D$17))/$B$126)*$C$142*J135</f>
        <v>52342162.656341597</v>
      </c>
      <c r="K142" s="221"/>
      <c r="L142" s="457"/>
      <c r="O142" s="51"/>
      <c r="R142" s="287"/>
      <c r="S142" s="3"/>
    </row>
    <row r="143" spans="1:20">
      <c r="A143" s="164" t="s">
        <v>321</v>
      </c>
      <c r="B143" s="164" t="s">
        <v>363</v>
      </c>
      <c r="C143" s="164">
        <f>80*50</f>
        <v>4000</v>
      </c>
      <c r="D143" s="159">
        <f>(((D79*100)*(1-'5.Closing Stock &amp; W Capital'!D17))/$B$126)*$C$143*D135</f>
        <v>0</v>
      </c>
      <c r="E143" s="70">
        <f>((((E79*100)*(1-'5.Closing Stock &amp; W Capital'!$D$17))+((D79*100)*'5.Closing Stock &amp; W Capital'!$D$17))/$B$126)*$C$143*E135</f>
        <v>0</v>
      </c>
      <c r="F143" s="70">
        <f>((((F79*100)*(1-'5.Closing Stock &amp; W Capital'!$D$17))+((E79*100)*'5.Closing Stock &amp; W Capital'!$D$17))/$B$126)*$C$143*F135</f>
        <v>0</v>
      </c>
      <c r="G143" s="70">
        <f>((((G79*100)*(1-'5.Closing Stock &amp; W Capital'!$D$17))+((F79*100)*'5.Closing Stock &amp; W Capital'!$D$17))/$B$126)*$C$143*G135</f>
        <v>0</v>
      </c>
      <c r="H143" s="70">
        <f>((((H79*100)*(1-'5.Closing Stock &amp; W Capital'!$D$17))+((G79*100)*'5.Closing Stock &amp; W Capital'!$D$17))/$B$126)*$C$143*H135</f>
        <v>0</v>
      </c>
      <c r="I143" s="70">
        <f>((((I79*100)*(1-'5.Closing Stock &amp; W Capital'!$D$17))+((H79*100)*'5.Closing Stock &amp; W Capital'!$D$17))/$B$126)*$C$143*I135</f>
        <v>0</v>
      </c>
      <c r="J143" s="70">
        <f>((((J79*100)*(1-'5.Closing Stock &amp; W Capital'!$D$17))+((I79*100)*'5.Closing Stock &amp; W Capital'!$D$17))/$B$126)*$C$143*J135</f>
        <v>0</v>
      </c>
      <c r="K143" s="221"/>
      <c r="L143" s="457"/>
      <c r="O143" s="51"/>
      <c r="R143" s="287"/>
    </row>
    <row r="144" spans="1:20">
      <c r="A144" s="164" t="s">
        <v>319</v>
      </c>
      <c r="B144" s="164" t="s">
        <v>363</v>
      </c>
      <c r="C144" s="164">
        <f>80*50</f>
        <v>4000</v>
      </c>
      <c r="D144" s="159">
        <f>(((D71*100)*(1-'5.Closing Stock &amp; W Capital'!D17))/B126)*$C$144*D135</f>
        <v>0</v>
      </c>
      <c r="E144" s="70">
        <f>((((E71*100)*(1-'5.Closing Stock &amp; W Capital'!$D$17))+((D71*100)*'5.Closing Stock &amp; W Capital'!$D$17))/$B$126)*$C$144*E135</f>
        <v>0</v>
      </c>
      <c r="F144" s="70">
        <f>((((F71*100)*(1-'5.Closing Stock &amp; W Capital'!$D$17))+((E71*100)*'5.Closing Stock &amp; W Capital'!$D$17))/$B$126)*$C$144*F135</f>
        <v>0</v>
      </c>
      <c r="G144" s="70">
        <f>((((G71*100)*(1-'5.Closing Stock &amp; W Capital'!$D$17))+((F71*100)*'5.Closing Stock &amp; W Capital'!$D$17))/$B$126)*$C$144*G135</f>
        <v>0</v>
      </c>
      <c r="H144" s="70">
        <f>((((H71*100)*(1-'5.Closing Stock &amp; W Capital'!$D$17))+((G71*100)*'5.Closing Stock &amp; W Capital'!$D$17))/$B$126)*$C$144*H135</f>
        <v>0</v>
      </c>
      <c r="I144" s="70">
        <f>((((I71*100)*(1-'5.Closing Stock &amp; W Capital'!$D$17))+((H71*100)*'5.Closing Stock &amp; W Capital'!$D$17))/$B$126)*$C$144*I135</f>
        <v>0</v>
      </c>
      <c r="J144" s="70">
        <f>((((J71*100)*(1-'5.Closing Stock &amp; W Capital'!$D$17))+((I71*100)*'5.Closing Stock &amp; W Capital'!$D$17))/$B$126)*$C$144*J135</f>
        <v>0</v>
      </c>
      <c r="K144" s="221"/>
      <c r="L144" s="457"/>
      <c r="O144" s="51"/>
      <c r="R144" s="287"/>
    </row>
    <row r="145" spans="1:17">
      <c r="A145" s="72" t="s">
        <v>141</v>
      </c>
      <c r="B145" s="72" t="s">
        <v>364</v>
      </c>
      <c r="C145" s="72">
        <v>10</v>
      </c>
      <c r="D145" s="159">
        <f t="shared" ref="D145:J145" si="36">((D65+D99+D80+D72)*100)*$C$145*D135</f>
        <v>1156836.8306880004</v>
      </c>
      <c r="E145" s="70">
        <f t="shared" si="36"/>
        <v>1336146.5394446405</v>
      </c>
      <c r="F145" s="70">
        <f t="shared" si="36"/>
        <v>1530495.1270002248</v>
      </c>
      <c r="G145" s="70">
        <f t="shared" si="36"/>
        <v>1740938.2069627561</v>
      </c>
      <c r="H145" s="70">
        <f t="shared" si="36"/>
        <v>1968599.3571040391</v>
      </c>
      <c r="I145" s="70">
        <f t="shared" si="36"/>
        <v>2214674.2767420448</v>
      </c>
      <c r="J145" s="70">
        <f t="shared" si="36"/>
        <v>2480435.1899510897</v>
      </c>
      <c r="K145" s="221"/>
      <c r="L145" s="457"/>
    </row>
    <row r="146" spans="1:17" ht="6.75" customHeight="1">
      <c r="A146" s="164"/>
      <c r="B146" s="164"/>
      <c r="C146" s="164"/>
      <c r="D146" s="159"/>
      <c r="E146" s="70"/>
      <c r="F146" s="70"/>
      <c r="G146" s="70"/>
      <c r="H146" s="70"/>
      <c r="I146" s="70"/>
      <c r="J146" s="70"/>
      <c r="K146" s="221"/>
      <c r="L146" s="457"/>
      <c r="M146" s="48"/>
    </row>
    <row r="147" spans="1:17">
      <c r="A147" s="72" t="s">
        <v>296</v>
      </c>
      <c r="B147" s="72" t="s">
        <v>364</v>
      </c>
      <c r="C147" s="164">
        <v>7.5</v>
      </c>
      <c r="D147" s="159">
        <f t="shared" ref="D147:J147" si="37">(D36*100)*$C$147*D135</f>
        <v>13102280.54352</v>
      </c>
      <c r="E147" s="70">
        <f t="shared" si="37"/>
        <v>15133134.027765602</v>
      </c>
      <c r="F147" s="70">
        <f t="shared" si="37"/>
        <v>17334317.159076966</v>
      </c>
      <c r="G147" s="70">
        <f t="shared" si="37"/>
        <v>19717785.768450048</v>
      </c>
      <c r="H147" s="70">
        <f t="shared" si="37"/>
        <v>22296265.445862751</v>
      </c>
      <c r="I147" s="70">
        <f t="shared" si="37"/>
        <v>25083298.626595598</v>
      </c>
      <c r="J147" s="70">
        <f t="shared" si="37"/>
        <v>28093294.461787067</v>
      </c>
      <c r="K147" s="221"/>
      <c r="L147" s="457"/>
    </row>
    <row r="148" spans="1:17" ht="8.25" customHeight="1">
      <c r="A148" s="72"/>
      <c r="B148" s="72"/>
      <c r="C148" s="164"/>
      <c r="D148" s="159"/>
      <c r="E148" s="70"/>
      <c r="F148" s="70"/>
      <c r="G148" s="70"/>
      <c r="H148" s="70"/>
      <c r="I148" s="70"/>
      <c r="J148" s="70"/>
      <c r="K148" s="221"/>
      <c r="L148" s="457"/>
    </row>
    <row r="149" spans="1:17">
      <c r="A149" s="164"/>
      <c r="B149" s="164"/>
      <c r="C149" s="164"/>
      <c r="D149" s="159"/>
      <c r="E149" s="70"/>
      <c r="F149" s="70"/>
      <c r="G149" s="70"/>
      <c r="H149" s="70"/>
      <c r="I149" s="70"/>
      <c r="J149" s="70"/>
      <c r="K149" s="221"/>
      <c r="L149" s="221"/>
    </row>
    <row r="150" spans="1:17" ht="5.25" customHeight="1">
      <c r="A150" s="164"/>
      <c r="B150" s="164"/>
      <c r="C150" s="164"/>
      <c r="D150" s="159"/>
      <c r="E150" s="70"/>
      <c r="F150" s="70"/>
      <c r="G150" s="70"/>
      <c r="H150" s="70"/>
      <c r="I150" s="70"/>
      <c r="J150" s="70"/>
      <c r="K150" s="221"/>
      <c r="L150" s="221"/>
    </row>
    <row r="151" spans="1:17">
      <c r="A151" s="72" t="s">
        <v>126</v>
      </c>
      <c r="B151" s="72"/>
      <c r="C151" s="72"/>
      <c r="D151" s="580">
        <f t="shared" ref="D151:J151" si="38">SUM(D141:D149)</f>
        <v>52243811.117316008</v>
      </c>
      <c r="E151" s="87">
        <f t="shared" si="38"/>
        <v>62440755.968408599</v>
      </c>
      <c r="F151" s="87">
        <f t="shared" si="38"/>
        <v>71543085.125943542</v>
      </c>
      <c r="G151" s="87">
        <f t="shared" si="38"/>
        <v>81399545.309310943</v>
      </c>
      <c r="H151" s="87">
        <f t="shared" si="38"/>
        <v>92062793.798200205</v>
      </c>
      <c r="I151" s="87">
        <f t="shared" si="38"/>
        <v>103588868.27270517</v>
      </c>
      <c r="J151" s="87">
        <f t="shared" si="38"/>
        <v>116037393.21016508</v>
      </c>
      <c r="K151" s="199"/>
      <c r="L151" s="199"/>
    </row>
    <row r="152" spans="1:17" ht="6.75" customHeight="1">
      <c r="A152" s="164"/>
      <c r="B152" s="164"/>
      <c r="C152" s="164"/>
      <c r="D152" s="159"/>
      <c r="E152" s="70"/>
      <c r="F152" s="70"/>
      <c r="G152" s="70"/>
      <c r="H152" s="70"/>
      <c r="I152" s="70"/>
      <c r="J152" s="70"/>
      <c r="K152" s="221"/>
      <c r="L152" s="221"/>
    </row>
    <row r="153" spans="1:17">
      <c r="A153" s="72" t="s">
        <v>142</v>
      </c>
      <c r="B153" s="72"/>
      <c r="C153" s="72"/>
      <c r="D153" s="159"/>
      <c r="E153" s="70"/>
      <c r="F153" s="70"/>
      <c r="G153" s="70"/>
      <c r="H153" s="70"/>
      <c r="I153" s="70"/>
      <c r="J153" s="70"/>
      <c r="K153" s="221"/>
      <c r="L153" s="221"/>
    </row>
    <row r="154" spans="1:17">
      <c r="A154" s="72" t="s">
        <v>703</v>
      </c>
      <c r="B154" s="72"/>
      <c r="C154" s="164"/>
      <c r="D154" s="70"/>
      <c r="E154" s="70"/>
      <c r="F154" s="70"/>
      <c r="G154" s="70"/>
      <c r="H154" s="70"/>
      <c r="I154" s="70"/>
      <c r="J154" s="70"/>
      <c r="K154" s="221"/>
      <c r="L154" s="221"/>
    </row>
    <row r="155" spans="1:17">
      <c r="A155" s="164" t="s">
        <v>164</v>
      </c>
      <c r="B155" s="164" t="s">
        <v>365</v>
      </c>
      <c r="C155" s="159">
        <v>5000</v>
      </c>
      <c r="D155" s="159">
        <f t="shared" ref="D155:J155" si="39">(D48)*$C$155*D135</f>
        <v>17028333.000000004</v>
      </c>
      <c r="E155" s="159">
        <f t="shared" si="39"/>
        <v>19667724.61500001</v>
      </c>
      <c r="F155" s="159">
        <f t="shared" si="39"/>
        <v>22528484.559000012</v>
      </c>
      <c r="G155" s="159">
        <f t="shared" si="39"/>
        <v>25626151.185862519</v>
      </c>
      <c r="H155" s="159">
        <f t="shared" si="39"/>
        <v>28977263.264013767</v>
      </c>
      <c r="I155" s="159">
        <f t="shared" si="39"/>
        <v>32599421.172015492</v>
      </c>
      <c r="J155" s="159">
        <f t="shared" si="39"/>
        <v>36511351.712657355</v>
      </c>
      <c r="K155" s="221"/>
      <c r="L155" s="221"/>
      <c r="N155" s="287"/>
      <c r="Q155" s="287"/>
    </row>
    <row r="156" spans="1:17">
      <c r="A156" s="164" t="s">
        <v>322</v>
      </c>
      <c r="B156" s="164" t="s">
        <v>365</v>
      </c>
      <c r="C156" s="159">
        <v>6500</v>
      </c>
      <c r="D156" s="159">
        <f t="shared" ref="D156:J156" si="40">(D39)*$C$156*D135</f>
        <v>26528780.547360007</v>
      </c>
      <c r="E156" s="70">
        <f t="shared" si="40"/>
        <v>30640741.532200813</v>
      </c>
      <c r="F156" s="70">
        <f t="shared" si="40"/>
        <v>35097576.664157294</v>
      </c>
      <c r="G156" s="70">
        <f t="shared" si="40"/>
        <v>39923493.455478922</v>
      </c>
      <c r="H156" s="70">
        <f t="shared" si="40"/>
        <v>45144257.984272331</v>
      </c>
      <c r="I156" s="70">
        <f t="shared" si="40"/>
        <v>50787290.232306376</v>
      </c>
      <c r="J156" s="70">
        <f t="shared" si="40"/>
        <v>56881765.060183138</v>
      </c>
      <c r="K156" s="221"/>
      <c r="L156" s="221"/>
      <c r="Q156" s="287"/>
    </row>
    <row r="157" spans="1:17">
      <c r="A157" s="164" t="s">
        <v>323</v>
      </c>
      <c r="B157" s="164" t="s">
        <v>365</v>
      </c>
      <c r="C157" s="159">
        <v>6500</v>
      </c>
      <c r="D157" s="159">
        <f t="shared" ref="D157:J157" si="41">(D43)*$C$157*D135</f>
        <v>0</v>
      </c>
      <c r="E157" s="70">
        <f t="shared" si="41"/>
        <v>0</v>
      </c>
      <c r="F157" s="70">
        <f t="shared" si="41"/>
        <v>0</v>
      </c>
      <c r="G157" s="70">
        <f t="shared" si="41"/>
        <v>0</v>
      </c>
      <c r="H157" s="70">
        <f t="shared" si="41"/>
        <v>0</v>
      </c>
      <c r="I157" s="70">
        <f t="shared" si="41"/>
        <v>0</v>
      </c>
      <c r="J157" s="70">
        <f t="shared" si="41"/>
        <v>0</v>
      </c>
      <c r="K157" s="221"/>
      <c r="L157" s="221"/>
      <c r="Q157" s="287"/>
    </row>
    <row r="158" spans="1:17">
      <c r="A158" s="164" t="s">
        <v>319</v>
      </c>
      <c r="B158" s="164" t="s">
        <v>365</v>
      </c>
      <c r="C158" s="159">
        <v>6800</v>
      </c>
      <c r="D158" s="159">
        <f t="shared" ref="D158:J158" si="42">(D41)*$C$158*D135</f>
        <v>0</v>
      </c>
      <c r="E158" s="70">
        <f t="shared" si="42"/>
        <v>0</v>
      </c>
      <c r="F158" s="70">
        <f t="shared" si="42"/>
        <v>0</v>
      </c>
      <c r="G158" s="70">
        <f t="shared" si="42"/>
        <v>0</v>
      </c>
      <c r="H158" s="70">
        <f t="shared" si="42"/>
        <v>0</v>
      </c>
      <c r="I158" s="70">
        <f t="shared" si="42"/>
        <v>0</v>
      </c>
      <c r="J158" s="70">
        <f t="shared" si="42"/>
        <v>0</v>
      </c>
      <c r="K158" s="221"/>
      <c r="L158" s="221"/>
      <c r="Q158" s="287"/>
    </row>
    <row r="159" spans="1:17">
      <c r="A159" s="164" t="s">
        <v>366</v>
      </c>
      <c r="B159" s="164">
        <v>2</v>
      </c>
      <c r="C159" s="164">
        <v>100</v>
      </c>
      <c r="D159" s="70">
        <f t="shared" ref="D159:J159" si="43">(D32/10)*$B$159*$C$159*D135</f>
        <v>499134.496896</v>
      </c>
      <c r="E159" s="70">
        <f t="shared" si="43"/>
        <v>576500.34391488018</v>
      </c>
      <c r="F159" s="70">
        <f t="shared" si="43"/>
        <v>660354.93939340825</v>
      </c>
      <c r="G159" s="70">
        <f t="shared" si="43"/>
        <v>751153.74356000195</v>
      </c>
      <c r="H159" s="70">
        <f t="shared" si="43"/>
        <v>849381.5407947714</v>
      </c>
      <c r="I159" s="70">
        <f t="shared" si="43"/>
        <v>955554.23339411791</v>
      </c>
      <c r="J159" s="70">
        <f t="shared" si="43"/>
        <v>1070220.7414014123</v>
      </c>
      <c r="K159" s="221"/>
      <c r="L159" s="221"/>
      <c r="M159" s="3"/>
      <c r="Q159" s="287"/>
    </row>
    <row r="160" spans="1:17">
      <c r="A160" s="164" t="s">
        <v>324</v>
      </c>
      <c r="B160" s="164">
        <v>20</v>
      </c>
      <c r="C160" s="164">
        <v>300</v>
      </c>
      <c r="D160" s="159">
        <f t="shared" ref="D160:J160" si="44">D12*$B$160*$C$160*D135</f>
        <v>998268.99379200011</v>
      </c>
      <c r="E160" s="70">
        <f t="shared" si="44"/>
        <v>1153000.6878297604</v>
      </c>
      <c r="F160" s="70">
        <f t="shared" si="44"/>
        <v>1320709.8787868165</v>
      </c>
      <c r="G160" s="70">
        <f t="shared" si="44"/>
        <v>1502307.4871200039</v>
      </c>
      <c r="H160" s="70">
        <f t="shared" si="44"/>
        <v>1698763.0815895428</v>
      </c>
      <c r="I160" s="70">
        <f t="shared" si="44"/>
        <v>1911108.4667882358</v>
      </c>
      <c r="J160" s="70">
        <f t="shared" si="44"/>
        <v>2140441.4828028246</v>
      </c>
      <c r="K160" s="221"/>
      <c r="L160" s="221"/>
      <c r="Q160" s="287"/>
    </row>
    <row r="161" spans="1:14">
      <c r="A161" s="164" t="s">
        <v>144</v>
      </c>
      <c r="B161" s="164">
        <f>100*0.746*8</f>
        <v>596.79999999999995</v>
      </c>
      <c r="C161" s="164">
        <v>10</v>
      </c>
      <c r="D161" s="159">
        <f t="shared" ref="D161:J161" si="45">$B$161*$C$161*D12*D135</f>
        <v>992944.89249177615</v>
      </c>
      <c r="E161" s="70">
        <f t="shared" si="45"/>
        <v>1146851.3508280017</v>
      </c>
      <c r="F161" s="70">
        <f t="shared" si="45"/>
        <v>1313666.09276662</v>
      </c>
      <c r="G161" s="70">
        <f t="shared" si="45"/>
        <v>1494295.1805220305</v>
      </c>
      <c r="H161" s="70">
        <f t="shared" si="45"/>
        <v>1689703.0118210651</v>
      </c>
      <c r="I161" s="70">
        <f t="shared" si="45"/>
        <v>1900915.8882986987</v>
      </c>
      <c r="J161" s="70">
        <f t="shared" si="45"/>
        <v>2129025.794894543</v>
      </c>
      <c r="K161" s="221"/>
      <c r="L161" s="221"/>
    </row>
    <row r="162" spans="1:14">
      <c r="A162" s="294" t="s">
        <v>2071</v>
      </c>
      <c r="B162" s="294"/>
      <c r="C162" s="294">
        <v>25</v>
      </c>
      <c r="D162" s="159">
        <f>((SUM(D64:D99)*100)/50)*$C$162*D135</f>
        <v>374350.87267200009</v>
      </c>
      <c r="E162" s="159">
        <f t="shared" ref="E162:J162" si="46">((SUM(E64:E99)*100)/50)*$C$162*E135</f>
        <v>432375.25793616014</v>
      </c>
      <c r="F162" s="159">
        <f t="shared" si="46"/>
        <v>495266.20454505621</v>
      </c>
      <c r="G162" s="159">
        <f t="shared" si="46"/>
        <v>563365.30767000164</v>
      </c>
      <c r="H162" s="159">
        <f t="shared" si="46"/>
        <v>637036.15559607861</v>
      </c>
      <c r="I162" s="159">
        <f t="shared" si="46"/>
        <v>716665.67504558864</v>
      </c>
      <c r="J162" s="159">
        <f t="shared" si="46"/>
        <v>802665.55605105928</v>
      </c>
      <c r="K162" s="456"/>
      <c r="L162" s="456"/>
      <c r="M162" s="293"/>
      <c r="N162" s="293"/>
    </row>
    <row r="163" spans="1:14">
      <c r="A163" s="294"/>
      <c r="B163" s="294"/>
      <c r="C163" s="294"/>
      <c r="D163" s="540"/>
      <c r="E163" s="540"/>
      <c r="F163" s="540"/>
      <c r="G163" s="540"/>
      <c r="H163" s="540"/>
      <c r="I163" s="540"/>
      <c r="J163" s="540"/>
      <c r="K163" s="221"/>
      <c r="L163" s="221"/>
      <c r="M163" s="452"/>
      <c r="N163" s="452"/>
    </row>
    <row r="164" spans="1:14">
      <c r="A164" s="164" t="s">
        <v>697</v>
      </c>
      <c r="B164" s="164"/>
      <c r="C164" s="164">
        <v>40</v>
      </c>
      <c r="D164" s="159">
        <f>SUM(D64:D99)*$C$164*D135</f>
        <v>299480.69813760009</v>
      </c>
      <c r="E164" s="159">
        <f t="shared" ref="E164:J164" si="47">SUM(E64:E99)*$C$164*E135</f>
        <v>345900.20634892816</v>
      </c>
      <c r="F164" s="159">
        <f t="shared" si="47"/>
        <v>396212.96363604499</v>
      </c>
      <c r="G164" s="159">
        <f t="shared" si="47"/>
        <v>450692.24613600125</v>
      </c>
      <c r="H164" s="159">
        <f t="shared" si="47"/>
        <v>509628.92447686283</v>
      </c>
      <c r="I164" s="159">
        <f t="shared" si="47"/>
        <v>573332.54003647098</v>
      </c>
      <c r="J164" s="159">
        <f t="shared" si="47"/>
        <v>642132.4448408474</v>
      </c>
      <c r="K164" s="221"/>
      <c r="L164" s="221"/>
    </row>
    <row r="165" spans="1:14">
      <c r="A165" s="196" t="s">
        <v>694</v>
      </c>
      <c r="B165" s="196"/>
      <c r="C165" s="579">
        <v>0.01</v>
      </c>
      <c r="D165" s="159">
        <f>('2.Capex Details'!$G$86)*$C$165*D135</f>
        <v>181279.329612</v>
      </c>
      <c r="E165" s="159">
        <f>('2.Capex Details'!$G$86)*$C$165*E135</f>
        <v>190343.29609260001</v>
      </c>
      <c r="F165" s="159">
        <f>('2.Capex Details'!$G$86)*$C$165*F135</f>
        <v>199860.46089723002</v>
      </c>
      <c r="G165" s="159">
        <f>('2.Capex Details'!$G$86)*$C$165*G135</f>
        <v>209853.48394209152</v>
      </c>
      <c r="H165" s="159">
        <f>('2.Capex Details'!$G$86)*$C$165*H135</f>
        <v>220346.15813919611</v>
      </c>
      <c r="I165" s="159">
        <f>('2.Capex Details'!$G$86)*$C$165*I135</f>
        <v>231363.46604615595</v>
      </c>
      <c r="J165" s="159">
        <f>('2.Capex Details'!$G$86)*$C$165*J135</f>
        <v>242931.63934846374</v>
      </c>
      <c r="K165" s="221"/>
      <c r="L165" s="221"/>
    </row>
    <row r="166" spans="1:14" hidden="1">
      <c r="A166" s="196"/>
      <c r="B166" s="196"/>
      <c r="C166" s="196"/>
      <c r="D166" s="196"/>
      <c r="E166" s="196"/>
      <c r="F166" s="196"/>
      <c r="G166" s="196"/>
      <c r="H166" s="196"/>
      <c r="I166" s="196"/>
      <c r="J166" s="196"/>
      <c r="K166" s="51"/>
      <c r="L166" s="51"/>
    </row>
    <row r="167" spans="1:14" hidden="1">
      <c r="A167" s="196"/>
      <c r="B167" s="196"/>
      <c r="C167" s="196"/>
      <c r="D167" s="196"/>
      <c r="E167" s="196"/>
      <c r="F167" s="196"/>
      <c r="G167" s="196"/>
      <c r="H167" s="196"/>
      <c r="I167" s="196"/>
      <c r="J167" s="196"/>
      <c r="K167" s="51"/>
      <c r="L167" s="51"/>
    </row>
    <row r="168" spans="1:14" ht="8.25" customHeight="1">
      <c r="A168" s="196"/>
      <c r="B168" s="196"/>
      <c r="C168" s="196"/>
      <c r="D168" s="196"/>
      <c r="E168" s="196"/>
      <c r="F168" s="196"/>
      <c r="G168" s="196"/>
      <c r="H168" s="196"/>
      <c r="I168" s="196"/>
      <c r="J168" s="196"/>
      <c r="K168" s="51"/>
      <c r="L168" s="51"/>
    </row>
    <row r="169" spans="1:14">
      <c r="A169" s="159" t="s">
        <v>347</v>
      </c>
      <c r="B169" s="70"/>
      <c r="C169" s="70"/>
      <c r="D169" s="70"/>
      <c r="E169" s="70">
        <f>'5.Closing Stock &amp; W Capital'!F8</f>
        <v>2321090.640160589</v>
      </c>
      <c r="F169" s="70">
        <f>'5.Closing Stock &amp; W Capital'!G8</f>
        <v>2680859.6893854812</v>
      </c>
      <c r="G169" s="70">
        <f>'5.Closing Stock &amp; W Capital'!H8</f>
        <v>3070802.9169324604</v>
      </c>
      <c r="H169" s="70">
        <f>'5.Closing Stock &amp; W Capital'!I8</f>
        <v>3493038.3180106739</v>
      </c>
      <c r="I169" s="70">
        <f>'5.Closing Stock &amp; W Capital'!J8</f>
        <v>3949820.2519043782</v>
      </c>
      <c r="J169" s="70">
        <f>'5.Closing Stock &amp; W Capital'!K8</f>
        <v>4443547.7833924256</v>
      </c>
      <c r="K169" s="221"/>
      <c r="L169" s="221"/>
    </row>
    <row r="170" spans="1:14">
      <c r="A170" s="159" t="s">
        <v>348</v>
      </c>
      <c r="B170" s="70"/>
      <c r="C170" s="70"/>
      <c r="D170" s="70">
        <f>'5.Closing Stock &amp; W Capital'!E17</f>
        <v>2321090.640160589</v>
      </c>
      <c r="E170" s="70">
        <f>'5.Closing Stock &amp; W Capital'!F17</f>
        <v>2680859.6893854812</v>
      </c>
      <c r="F170" s="70">
        <f>'5.Closing Stock &amp; W Capital'!G17</f>
        <v>3070802.9169324604</v>
      </c>
      <c r="G170" s="70">
        <f>'5.Closing Stock &amp; W Capital'!H17</f>
        <v>3493038.3180106739</v>
      </c>
      <c r="H170" s="70">
        <f>'5.Closing Stock &amp; W Capital'!I17</f>
        <v>3949820.2519043782</v>
      </c>
      <c r="I170" s="70">
        <f>'5.Closing Stock &amp; W Capital'!J17</f>
        <v>4443547.7833924256</v>
      </c>
      <c r="J170" s="70">
        <f>'5.Closing Stock &amp; W Capital'!K17</f>
        <v>4976773.5173995178</v>
      </c>
      <c r="K170" s="221"/>
      <c r="L170" s="221"/>
    </row>
    <row r="171" spans="1:14" ht="7.5" customHeight="1">
      <c r="A171" s="70"/>
      <c r="B171" s="70"/>
      <c r="C171" s="70"/>
      <c r="D171" s="70"/>
      <c r="E171" s="70"/>
      <c r="F171" s="70"/>
      <c r="G171" s="70"/>
      <c r="H171" s="70"/>
      <c r="I171" s="70"/>
      <c r="J171" s="70"/>
      <c r="K171" s="221"/>
      <c r="L171" s="221"/>
    </row>
    <row r="172" spans="1:14">
      <c r="A172" s="87" t="s">
        <v>325</v>
      </c>
      <c r="B172" s="70"/>
      <c r="C172" s="70"/>
      <c r="D172" s="87">
        <f t="shared" ref="D172:J172" si="48">SUM(D155:D169)-D170</f>
        <v>44581482.190800793</v>
      </c>
      <c r="E172" s="87">
        <f t="shared" si="48"/>
        <v>53793668.240926258</v>
      </c>
      <c r="F172" s="87">
        <f t="shared" si="48"/>
        <v>61622188.535635501</v>
      </c>
      <c r="G172" s="87">
        <f t="shared" si="48"/>
        <v>70099076.68921335</v>
      </c>
      <c r="H172" s="87">
        <f t="shared" si="48"/>
        <v>79269598.186809912</v>
      </c>
      <c r="I172" s="87">
        <f t="shared" si="48"/>
        <v>89181924.142443091</v>
      </c>
      <c r="J172" s="87">
        <f t="shared" si="48"/>
        <v>99887308.698172569</v>
      </c>
      <c r="K172" s="199"/>
      <c r="L172" s="199"/>
    </row>
    <row r="173" spans="1:14">
      <c r="A173" s="291"/>
      <c r="B173" s="291"/>
      <c r="C173" s="291"/>
      <c r="D173" s="291"/>
      <c r="E173" s="291"/>
      <c r="F173" s="291"/>
      <c r="G173" s="291"/>
      <c r="H173" s="291"/>
      <c r="I173" s="291"/>
      <c r="J173" s="291"/>
      <c r="K173" s="291"/>
      <c r="L173" s="291"/>
    </row>
    <row r="174" spans="1:14">
      <c r="A174" s="295" t="s">
        <v>312</v>
      </c>
      <c r="B174" s="295"/>
      <c r="C174" s="295"/>
      <c r="D174" s="87"/>
      <c r="E174" s="87"/>
      <c r="F174" s="87"/>
      <c r="G174" s="87"/>
      <c r="H174" s="87"/>
      <c r="I174" s="87"/>
      <c r="J174" s="87"/>
      <c r="K174" s="199"/>
      <c r="L174" s="199"/>
    </row>
    <row r="175" spans="1:14">
      <c r="A175" s="164" t="s">
        <v>188</v>
      </c>
      <c r="B175" s="164">
        <v>2</v>
      </c>
      <c r="C175" s="159">
        <v>15000</v>
      </c>
      <c r="D175" s="159">
        <f t="shared" ref="D175:J175" si="49">$B$175*$C$175*12*D135</f>
        <v>360000</v>
      </c>
      <c r="E175" s="70">
        <f t="shared" si="49"/>
        <v>378000</v>
      </c>
      <c r="F175" s="70">
        <f t="shared" si="49"/>
        <v>396900</v>
      </c>
      <c r="G175" s="70">
        <f t="shared" si="49"/>
        <v>416745.00000000006</v>
      </c>
      <c r="H175" s="70">
        <f t="shared" si="49"/>
        <v>437582.25000000006</v>
      </c>
      <c r="I175" s="70">
        <f t="shared" si="49"/>
        <v>459461.3625000001</v>
      </c>
      <c r="J175" s="70">
        <f t="shared" si="49"/>
        <v>482434.43062500015</v>
      </c>
      <c r="K175" s="221"/>
      <c r="L175" s="221"/>
    </row>
    <row r="176" spans="1:14">
      <c r="A176" s="164" t="s">
        <v>193</v>
      </c>
      <c r="B176" s="164">
        <v>4</v>
      </c>
      <c r="C176" s="159">
        <v>10000</v>
      </c>
      <c r="D176" s="159">
        <f t="shared" ref="D176:J176" si="50">$B$176*$C$176*12*D135</f>
        <v>480000</v>
      </c>
      <c r="E176" s="159">
        <f t="shared" si="50"/>
        <v>504000</v>
      </c>
      <c r="F176" s="159">
        <f t="shared" si="50"/>
        <v>529200</v>
      </c>
      <c r="G176" s="159">
        <f t="shared" si="50"/>
        <v>555660.00000000012</v>
      </c>
      <c r="H176" s="159">
        <f t="shared" si="50"/>
        <v>583443.00000000012</v>
      </c>
      <c r="I176" s="159">
        <f t="shared" si="50"/>
        <v>612615.15000000014</v>
      </c>
      <c r="J176" s="159">
        <f t="shared" si="50"/>
        <v>643245.9075000002</v>
      </c>
      <c r="K176" s="221"/>
      <c r="L176" s="221"/>
    </row>
    <row r="177" spans="1:12">
      <c r="A177" s="164"/>
      <c r="B177" s="164"/>
      <c r="C177" s="159"/>
      <c r="D177" s="159"/>
      <c r="E177" s="70"/>
      <c r="F177" s="70"/>
      <c r="G177" s="70"/>
      <c r="H177" s="70"/>
      <c r="I177" s="70"/>
      <c r="J177" s="70"/>
      <c r="K177" s="221"/>
      <c r="L177" s="221"/>
    </row>
    <row r="178" spans="1:12" ht="9" customHeight="1">
      <c r="A178" s="164"/>
      <c r="B178" s="164"/>
      <c r="C178" s="159"/>
      <c r="D178" s="159"/>
      <c r="E178" s="70"/>
      <c r="F178" s="70"/>
      <c r="G178" s="70"/>
      <c r="H178" s="70"/>
      <c r="I178" s="70"/>
      <c r="J178" s="70"/>
      <c r="K178" s="221"/>
      <c r="L178" s="221"/>
    </row>
    <row r="179" spans="1:12">
      <c r="A179" s="72" t="s">
        <v>312</v>
      </c>
      <c r="B179" s="72"/>
      <c r="C179" s="72"/>
      <c r="D179" s="580">
        <f t="shared" ref="D179:J179" si="51">SUM(D175:D178)</f>
        <v>840000</v>
      </c>
      <c r="E179" s="87">
        <f t="shared" si="51"/>
        <v>882000</v>
      </c>
      <c r="F179" s="87">
        <f t="shared" si="51"/>
        <v>926100</v>
      </c>
      <c r="G179" s="87">
        <f t="shared" si="51"/>
        <v>972405.00000000023</v>
      </c>
      <c r="H179" s="87">
        <f t="shared" si="51"/>
        <v>1021025.2500000002</v>
      </c>
      <c r="I179" s="87">
        <f t="shared" si="51"/>
        <v>1072076.5125000002</v>
      </c>
      <c r="J179" s="87">
        <f t="shared" si="51"/>
        <v>1125680.3381250002</v>
      </c>
      <c r="K179" s="199"/>
      <c r="L179" s="199"/>
    </row>
    <row r="180" spans="1:12">
      <c r="A180" s="295" t="s">
        <v>300</v>
      </c>
      <c r="B180" s="295"/>
      <c r="C180" s="295"/>
      <c r="D180" s="580">
        <f t="shared" ref="D180:J180" si="52">D172+D179</f>
        <v>45421482.190800793</v>
      </c>
      <c r="E180" s="87">
        <f t="shared" si="52"/>
        <v>54675668.240926258</v>
      </c>
      <c r="F180" s="87">
        <f t="shared" si="52"/>
        <v>62548288.535635501</v>
      </c>
      <c r="G180" s="87">
        <f t="shared" si="52"/>
        <v>71071481.68921335</v>
      </c>
      <c r="H180" s="87">
        <f t="shared" si="52"/>
        <v>80290623.436809912</v>
      </c>
      <c r="I180" s="87">
        <f t="shared" si="52"/>
        <v>90254000.654943094</v>
      </c>
      <c r="J180" s="87">
        <f t="shared" si="52"/>
        <v>101012989.03629757</v>
      </c>
      <c r="K180" s="199"/>
      <c r="L180" s="199"/>
    </row>
    <row r="181" spans="1:12">
      <c r="A181" s="164"/>
      <c r="B181" s="164"/>
      <c r="C181" s="164"/>
      <c r="D181" s="70"/>
      <c r="E181" s="70"/>
      <c r="F181" s="70"/>
      <c r="G181" s="70"/>
      <c r="H181" s="70"/>
      <c r="I181" s="70"/>
      <c r="J181" s="70"/>
      <c r="K181" s="221"/>
      <c r="L181" s="221"/>
    </row>
    <row r="182" spans="1:12">
      <c r="A182" s="72" t="s">
        <v>7</v>
      </c>
      <c r="B182" s="72"/>
      <c r="C182" s="72"/>
      <c r="D182" s="87">
        <f t="shared" ref="D182:J182" si="53">D151-D180</f>
        <v>6822328.9265152141</v>
      </c>
      <c r="E182" s="87">
        <f t="shared" si="53"/>
        <v>7765087.7274823412</v>
      </c>
      <c r="F182" s="87">
        <f t="shared" si="53"/>
        <v>8994796.5903080404</v>
      </c>
      <c r="G182" s="87">
        <f t="shared" si="53"/>
        <v>10328063.620097592</v>
      </c>
      <c r="H182" s="87">
        <f t="shared" si="53"/>
        <v>11772170.361390293</v>
      </c>
      <c r="I182" s="87">
        <f t="shared" si="53"/>
        <v>13334867.617762074</v>
      </c>
      <c r="J182" s="87">
        <f t="shared" si="53"/>
        <v>15024404.173867509</v>
      </c>
      <c r="K182" s="199"/>
      <c r="L182" s="199"/>
    </row>
    <row r="183" spans="1:12">
      <c r="A183" s="296"/>
      <c r="B183" s="296"/>
      <c r="C183" s="296"/>
      <c r="D183" s="291"/>
      <c r="E183" s="291"/>
      <c r="F183" s="291"/>
      <c r="G183" s="291"/>
      <c r="H183" s="291"/>
      <c r="I183" s="291"/>
      <c r="J183" s="291"/>
      <c r="K183" s="291"/>
      <c r="L183" s="291"/>
    </row>
    <row r="184" spans="1:12">
      <c r="A184" s="291"/>
      <c r="B184" s="291"/>
      <c r="C184" s="291"/>
      <c r="D184" s="291"/>
      <c r="E184" s="291"/>
      <c r="F184" s="291"/>
      <c r="G184" s="291"/>
      <c r="H184" s="291"/>
      <c r="I184" s="291"/>
      <c r="J184" s="291"/>
      <c r="K184" s="291"/>
      <c r="L184" s="291"/>
    </row>
    <row r="185" spans="1:12">
      <c r="A185" s="291"/>
      <c r="B185" s="291"/>
      <c r="C185" s="291"/>
      <c r="D185" s="291"/>
      <c r="E185" s="291"/>
      <c r="F185" s="291"/>
      <c r="G185" s="291"/>
      <c r="H185" s="291"/>
      <c r="I185" s="291"/>
      <c r="J185" s="291"/>
      <c r="K185" s="291"/>
      <c r="L185" s="291"/>
    </row>
    <row r="186" spans="1:12">
      <c r="A186" s="1186" t="s">
        <v>425</v>
      </c>
      <c r="B186" s="1186"/>
      <c r="C186" s="1186"/>
      <c r="D186" s="1186"/>
      <c r="E186" s="1186"/>
      <c r="F186" s="1186"/>
      <c r="G186" s="1186"/>
      <c r="H186" s="1186"/>
      <c r="I186" s="1186"/>
      <c r="J186" s="1186"/>
      <c r="K186" s="297"/>
      <c r="L186" s="297"/>
    </row>
    <row r="187" spans="1:12">
      <c r="A187" s="51"/>
      <c r="B187" s="51"/>
      <c r="C187" s="51"/>
      <c r="D187" s="51"/>
      <c r="E187" s="51"/>
      <c r="F187" s="51"/>
      <c r="G187" s="51"/>
      <c r="H187" s="51"/>
      <c r="I187" s="51"/>
      <c r="J187" s="51"/>
      <c r="K187" s="51"/>
      <c r="L187" s="51"/>
    </row>
    <row r="188" spans="1:12" ht="18.75">
      <c r="A188" s="1187"/>
      <c r="B188" s="1187"/>
      <c r="C188" s="1187"/>
      <c r="D188" s="1187"/>
      <c r="E188" s="1187"/>
      <c r="F188" s="1187"/>
      <c r="G188" s="1187"/>
      <c r="H188" s="1187"/>
      <c r="I188" s="1187"/>
      <c r="J188" s="1187"/>
      <c r="K188" s="406"/>
      <c r="L188" s="406"/>
    </row>
    <row r="189" spans="1:12">
      <c r="A189" s="297"/>
      <c r="B189" s="297"/>
      <c r="C189" s="297"/>
      <c r="D189" s="297"/>
      <c r="E189" s="297"/>
      <c r="F189" s="297"/>
      <c r="G189" s="297"/>
      <c r="H189" s="297"/>
      <c r="I189" s="51"/>
      <c r="J189" s="51"/>
      <c r="K189" s="51"/>
      <c r="L189" s="51"/>
    </row>
    <row r="190" spans="1:12">
      <c r="A190" s="298"/>
      <c r="B190" s="298"/>
      <c r="C190" s="298"/>
      <c r="D190" s="298"/>
      <c r="E190" s="298"/>
      <c r="F190" s="298"/>
      <c r="G190" s="298"/>
      <c r="H190" s="298"/>
      <c r="I190" s="298"/>
      <c r="J190" s="298"/>
      <c r="K190" s="298"/>
      <c r="L190" s="298"/>
    </row>
    <row r="191" spans="1:12">
      <c r="A191" s="291"/>
      <c r="B191" s="291"/>
      <c r="C191" s="291"/>
      <c r="D191" s="291"/>
      <c r="E191" s="299"/>
      <c r="F191" s="291"/>
      <c r="G191" s="291"/>
      <c r="H191" s="291"/>
      <c r="I191" s="291"/>
      <c r="J191" s="291"/>
      <c r="K191" s="291"/>
      <c r="L191" s="291"/>
    </row>
    <row r="192" spans="1:12">
      <c r="A192" s="51"/>
      <c r="B192" s="51"/>
      <c r="C192" s="51"/>
      <c r="D192" s="51"/>
      <c r="E192" s="51"/>
      <c r="F192" s="51"/>
      <c r="G192" s="51"/>
      <c r="H192" s="51"/>
      <c r="I192" s="51"/>
      <c r="J192" s="51"/>
      <c r="K192" s="51"/>
      <c r="L192" s="51"/>
    </row>
    <row r="193" spans="1:12">
      <c r="A193" s="51"/>
      <c r="B193" s="51"/>
      <c r="C193" s="51"/>
      <c r="D193" s="51"/>
      <c r="E193" s="51"/>
      <c r="F193" s="51"/>
      <c r="G193" s="51"/>
      <c r="H193" s="51"/>
      <c r="I193" s="51"/>
      <c r="J193" s="51"/>
      <c r="K193" s="51"/>
      <c r="L193" s="51"/>
    </row>
    <row r="194" spans="1:12">
      <c r="A194" s="51"/>
      <c r="B194" s="51"/>
      <c r="C194" s="51"/>
      <c r="D194" s="51"/>
      <c r="E194" s="51"/>
      <c r="F194" s="51"/>
      <c r="G194" s="51"/>
      <c r="H194" s="51"/>
      <c r="I194" s="51"/>
      <c r="J194" s="51"/>
      <c r="K194" s="51"/>
      <c r="L194" s="51"/>
    </row>
    <row r="195" spans="1:12">
      <c r="A195" s="51"/>
      <c r="B195" s="51"/>
      <c r="C195" s="51"/>
      <c r="D195" s="51"/>
      <c r="E195" s="51"/>
      <c r="F195" s="51"/>
      <c r="G195" s="51"/>
      <c r="H195" s="51"/>
      <c r="I195" s="51"/>
      <c r="J195" s="51"/>
      <c r="K195" s="51"/>
      <c r="L195" s="51"/>
    </row>
    <row r="196" spans="1:12">
      <c r="A196" s="51"/>
      <c r="B196" s="51"/>
      <c r="C196" s="51"/>
      <c r="D196" s="51"/>
      <c r="E196" s="51"/>
      <c r="F196" s="51"/>
      <c r="G196" s="51"/>
      <c r="H196" s="51"/>
      <c r="I196" s="51"/>
      <c r="J196" s="51"/>
      <c r="K196" s="51"/>
      <c r="L196" s="51"/>
    </row>
    <row r="197" spans="1:12">
      <c r="A197" s="51"/>
      <c r="B197" s="51"/>
      <c r="C197" s="51"/>
      <c r="D197" s="51"/>
      <c r="E197" s="51"/>
      <c r="F197" s="51"/>
      <c r="G197" s="51"/>
      <c r="H197" s="51"/>
      <c r="I197" s="51"/>
      <c r="J197" s="51"/>
      <c r="K197" s="51"/>
      <c r="L197" s="51"/>
    </row>
    <row r="198" spans="1:12">
      <c r="A198" s="51"/>
      <c r="B198" s="51"/>
      <c r="C198" s="51"/>
      <c r="D198" s="51"/>
      <c r="E198" s="51"/>
      <c r="F198" s="51"/>
      <c r="G198" s="51"/>
      <c r="H198" s="51"/>
      <c r="I198" s="51"/>
      <c r="J198" s="51"/>
      <c r="K198" s="51"/>
      <c r="L198" s="51"/>
    </row>
    <row r="199" spans="1:12">
      <c r="A199" s="51"/>
      <c r="B199" s="51"/>
      <c r="C199" s="51"/>
      <c r="D199" s="51"/>
      <c r="E199" s="51"/>
      <c r="F199" s="51"/>
      <c r="G199" s="51"/>
      <c r="H199" s="51"/>
      <c r="I199" s="51"/>
      <c r="J199" s="51"/>
      <c r="K199" s="51"/>
      <c r="L199" s="51"/>
    </row>
    <row r="200" spans="1:12">
      <c r="A200" s="51"/>
      <c r="B200" s="51"/>
      <c r="C200" s="51"/>
      <c r="D200" s="51"/>
      <c r="E200" s="51"/>
      <c r="F200" s="51"/>
      <c r="G200" s="51"/>
      <c r="H200" s="51"/>
      <c r="I200" s="51"/>
      <c r="J200" s="51"/>
      <c r="K200" s="51"/>
      <c r="L200" s="51"/>
    </row>
    <row r="201" spans="1:12">
      <c r="A201" s="51"/>
      <c r="B201" s="51"/>
      <c r="C201" s="51"/>
      <c r="D201" s="51"/>
      <c r="E201" s="51"/>
      <c r="F201" s="51"/>
      <c r="G201" s="51"/>
      <c r="H201" s="51"/>
      <c r="I201" s="51"/>
      <c r="J201" s="51"/>
      <c r="K201" s="51"/>
      <c r="L201" s="51"/>
    </row>
    <row r="202" spans="1:12">
      <c r="A202" s="51"/>
      <c r="B202" s="291"/>
      <c r="C202" s="51"/>
      <c r="D202" s="51"/>
      <c r="E202" s="51"/>
      <c r="F202" s="51"/>
      <c r="G202" s="51"/>
      <c r="H202" s="51"/>
      <c r="I202" s="51"/>
      <c r="J202" s="51"/>
      <c r="K202" s="51"/>
      <c r="L202" s="51"/>
    </row>
    <row r="203" spans="1:12">
      <c r="A203" s="51"/>
      <c r="B203" s="51"/>
      <c r="C203" s="51"/>
      <c r="D203" s="51"/>
      <c r="E203" s="51"/>
      <c r="F203" s="51"/>
      <c r="G203" s="51"/>
      <c r="H203" s="51"/>
      <c r="I203" s="51"/>
      <c r="J203" s="51"/>
      <c r="K203" s="51"/>
      <c r="L203" s="51"/>
    </row>
    <row r="204" spans="1:12">
      <c r="A204" s="51"/>
      <c r="B204" s="51"/>
      <c r="C204" s="51"/>
      <c r="D204" s="51"/>
      <c r="E204" s="51"/>
      <c r="F204" s="51"/>
      <c r="G204" s="51"/>
      <c r="H204" s="51"/>
      <c r="I204" s="51"/>
      <c r="J204" s="51"/>
      <c r="K204" s="51"/>
      <c r="L204" s="51"/>
    </row>
    <row r="205" spans="1:12">
      <c r="A205" s="51"/>
      <c r="B205" s="51"/>
      <c r="C205" s="51"/>
      <c r="D205" s="51"/>
      <c r="E205" s="51"/>
      <c r="F205" s="51"/>
      <c r="G205" s="51"/>
      <c r="H205" s="51"/>
      <c r="I205" s="51"/>
      <c r="J205" s="51"/>
      <c r="K205" s="51"/>
      <c r="L205" s="51"/>
    </row>
    <row r="206" spans="1:12">
      <c r="A206" s="51"/>
      <c r="B206" s="51"/>
      <c r="C206" s="51"/>
      <c r="D206" s="51"/>
      <c r="E206" s="51"/>
      <c r="F206" s="51"/>
      <c r="G206" s="51"/>
      <c r="H206" s="51"/>
      <c r="I206" s="51"/>
      <c r="J206" s="51"/>
      <c r="K206" s="51"/>
      <c r="L206" s="51"/>
    </row>
    <row r="207" spans="1:12">
      <c r="A207" s="51"/>
      <c r="B207" s="51"/>
      <c r="C207" s="51"/>
      <c r="D207" s="51"/>
      <c r="E207" s="51"/>
      <c r="F207" s="51"/>
      <c r="G207" s="51"/>
      <c r="H207" s="51"/>
      <c r="I207" s="51"/>
      <c r="J207" s="51"/>
      <c r="K207" s="51"/>
      <c r="L207" s="51"/>
    </row>
    <row r="208" spans="1:12">
      <c r="A208" s="51"/>
      <c r="B208" s="51"/>
      <c r="C208" s="51"/>
      <c r="D208" s="51"/>
      <c r="E208" s="51"/>
      <c r="F208" s="51"/>
      <c r="G208" s="51"/>
      <c r="H208" s="51"/>
      <c r="I208" s="51"/>
      <c r="J208" s="51"/>
      <c r="K208" s="51"/>
      <c r="L208" s="51"/>
    </row>
    <row r="209" spans="1:12">
      <c r="A209" s="51"/>
      <c r="B209" s="51"/>
      <c r="C209" s="51"/>
      <c r="D209" s="51"/>
      <c r="E209" s="51"/>
      <c r="F209" s="51"/>
      <c r="G209" s="51"/>
      <c r="H209" s="51"/>
      <c r="I209" s="51"/>
      <c r="J209" s="51"/>
      <c r="K209" s="51"/>
      <c r="L209" s="51"/>
    </row>
    <row r="210" spans="1:12">
      <c r="A210" s="51"/>
      <c r="B210" s="51"/>
      <c r="C210" s="51"/>
      <c r="D210" s="51"/>
      <c r="E210" s="51"/>
      <c r="F210" s="51"/>
      <c r="G210" s="51"/>
      <c r="H210" s="51"/>
      <c r="I210" s="51"/>
      <c r="J210" s="51"/>
      <c r="K210" s="51"/>
      <c r="L210" s="51"/>
    </row>
    <row r="211" spans="1:12">
      <c r="A211" s="51"/>
      <c r="B211" s="51"/>
      <c r="C211" s="51"/>
      <c r="D211" s="51"/>
      <c r="E211" s="51"/>
      <c r="F211" s="51"/>
      <c r="G211" s="51"/>
      <c r="H211" s="51"/>
      <c r="I211" s="51"/>
      <c r="J211" s="51"/>
      <c r="K211" s="51"/>
      <c r="L211" s="51"/>
    </row>
    <row r="212" spans="1:12">
      <c r="A212" s="51"/>
      <c r="B212" s="51"/>
      <c r="C212" s="51"/>
      <c r="D212" s="51"/>
      <c r="E212" s="51"/>
      <c r="F212" s="51"/>
      <c r="G212" s="51"/>
      <c r="H212" s="51"/>
      <c r="I212" s="51"/>
      <c r="J212" s="51"/>
      <c r="K212" s="51"/>
      <c r="L212" s="51"/>
    </row>
    <row r="213" spans="1:12">
      <c r="A213" s="51"/>
      <c r="B213" s="51"/>
      <c r="C213" s="51"/>
      <c r="D213" s="51"/>
      <c r="E213" s="51"/>
      <c r="F213" s="51"/>
      <c r="G213" s="51"/>
      <c r="H213" s="51"/>
      <c r="I213" s="51"/>
      <c r="J213" s="51"/>
      <c r="K213" s="51"/>
      <c r="L213" s="51"/>
    </row>
    <row r="214" spans="1:12">
      <c r="A214" s="51"/>
      <c r="B214" s="51"/>
      <c r="C214" s="51"/>
      <c r="D214" s="51"/>
      <c r="E214" s="51"/>
      <c r="F214" s="51"/>
      <c r="G214" s="51"/>
      <c r="H214" s="51"/>
      <c r="I214" s="51"/>
      <c r="J214" s="51"/>
      <c r="K214" s="51"/>
      <c r="L214" s="51"/>
    </row>
  </sheetData>
  <mergeCells count="5">
    <mergeCell ref="A133:J133"/>
    <mergeCell ref="A3:H3"/>
    <mergeCell ref="A186:J186"/>
    <mergeCell ref="A4:H4"/>
    <mergeCell ref="A188:J188"/>
  </mergeCells>
  <pageMargins left="0.75" right="0.25" top="0.75" bottom="0.75" header="0.3" footer="0.3"/>
  <pageSetup paperSize="9" scale="62" orientation="portrait" r:id="rId1"/>
  <rowBreaks count="2" manualBreakCount="2">
    <brk id="32" max="9" man="1"/>
    <brk id="129" max="9" man="1"/>
  </rowBreaks>
  <colBreaks count="1" manualBreakCount="1">
    <brk id="12" min="2" max="54"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96"/>
  <sheetViews>
    <sheetView showGridLines="0" view="pageBreakPreview" topLeftCell="A69" zoomScale="80" zoomScaleSheetLayoutView="80" workbookViewId="0">
      <selection activeCell="E173" sqref="E173"/>
    </sheetView>
  </sheetViews>
  <sheetFormatPr defaultRowHeight="15"/>
  <cols>
    <col min="1" max="1" width="27.7109375" customWidth="1"/>
    <col min="2" max="2" width="9.140625" customWidth="1"/>
    <col min="3" max="3" width="8.7109375" customWidth="1"/>
    <col min="4" max="4" width="13" customWidth="1"/>
    <col min="5" max="5" width="13.85546875" customWidth="1"/>
    <col min="6" max="7" width="13.5703125" customWidth="1"/>
    <col min="8" max="10" width="14" bestFit="1" customWidth="1"/>
    <col min="11" max="11" width="12.5703125" bestFit="1" customWidth="1"/>
    <col min="12" max="18" width="10.5703125" customWidth="1"/>
    <col min="19" max="19" width="10.28515625" bestFit="1" customWidth="1"/>
    <col min="20" max="20" width="12" bestFit="1" customWidth="1"/>
    <col min="21" max="21" width="13" bestFit="1" customWidth="1"/>
    <col min="22" max="25" width="9.42578125" bestFit="1" customWidth="1"/>
    <col min="26" max="27" width="9.140625" bestFit="1" customWidth="1"/>
  </cols>
  <sheetData>
    <row r="1" spans="1:20">
      <c r="S1">
        <v>20000</v>
      </c>
    </row>
    <row r="2" spans="1:20" ht="18.75">
      <c r="A2" s="724" t="s">
        <v>2096</v>
      </c>
      <c r="B2" s="724"/>
      <c r="C2" s="724"/>
      <c r="D2" s="724"/>
      <c r="E2" s="724"/>
      <c r="F2" s="724"/>
      <c r="G2" s="724"/>
      <c r="H2" s="724"/>
      <c r="S2">
        <f>+S1/8</f>
        <v>2500</v>
      </c>
    </row>
    <row r="3" spans="1:20" ht="18.75">
      <c r="A3" s="724" t="s">
        <v>2101</v>
      </c>
      <c r="B3" s="724"/>
      <c r="C3" s="724"/>
      <c r="D3" s="724"/>
      <c r="E3" s="724"/>
      <c r="F3" s="724"/>
      <c r="G3" s="724"/>
      <c r="H3" s="724"/>
    </row>
    <row r="4" spans="1:20">
      <c r="B4" s="68"/>
      <c r="C4" s="68"/>
      <c r="D4" s="68"/>
      <c r="E4" s="68"/>
      <c r="F4" s="1073" t="s">
        <v>475</v>
      </c>
      <c r="G4" s="1073"/>
      <c r="H4" s="1073"/>
      <c r="S4">
        <v>200</v>
      </c>
      <c r="T4">
        <v>120</v>
      </c>
    </row>
    <row r="5" spans="1:20">
      <c r="A5" s="68" t="s">
        <v>162</v>
      </c>
      <c r="B5" s="186">
        <v>5</v>
      </c>
      <c r="C5" s="68" t="s">
        <v>452</v>
      </c>
      <c r="D5" s="68"/>
      <c r="E5" s="68"/>
      <c r="F5" s="211" t="s">
        <v>476</v>
      </c>
      <c r="G5" s="211" t="s">
        <v>477</v>
      </c>
      <c r="H5" s="68"/>
      <c r="S5">
        <f>+S4/8</f>
        <v>25</v>
      </c>
      <c r="T5">
        <f>+T4/8</f>
        <v>15</v>
      </c>
    </row>
    <row r="6" spans="1:20">
      <c r="A6" s="68" t="s">
        <v>163</v>
      </c>
      <c r="B6" s="680">
        <v>7.5</v>
      </c>
      <c r="C6" s="68"/>
      <c r="D6" s="68"/>
      <c r="E6" s="68"/>
      <c r="F6" s="9" t="s">
        <v>473</v>
      </c>
      <c r="G6" s="230">
        <v>0.03</v>
      </c>
      <c r="H6" s="68"/>
      <c r="S6">
        <f>22*8</f>
        <v>176</v>
      </c>
    </row>
    <row r="7" spans="1:20">
      <c r="A7" s="68"/>
      <c r="B7" s="68"/>
      <c r="C7" s="68"/>
      <c r="D7" s="68"/>
      <c r="E7" s="68"/>
      <c r="F7" s="9" t="s">
        <v>474</v>
      </c>
      <c r="G7" s="230">
        <v>0.05</v>
      </c>
      <c r="H7" s="68"/>
    </row>
    <row r="8" spans="1:20">
      <c r="A8" s="68" t="s">
        <v>518</v>
      </c>
      <c r="B8" s="706">
        <f>AVERAGE(D10:J10)</f>
        <v>179.25699120000007</v>
      </c>
      <c r="C8" s="68"/>
      <c r="D8" s="68"/>
      <c r="E8" s="68"/>
      <c r="F8" s="9"/>
      <c r="G8" s="230"/>
      <c r="H8" s="68"/>
      <c r="K8">
        <v>2</v>
      </c>
    </row>
    <row r="9" spans="1:20">
      <c r="A9" s="433" t="s">
        <v>0</v>
      </c>
      <c r="B9" s="434"/>
      <c r="C9" s="435"/>
      <c r="D9" s="91" t="s">
        <v>2</v>
      </c>
      <c r="E9" s="91" t="s">
        <v>3</v>
      </c>
      <c r="F9" s="91" t="s">
        <v>4</v>
      </c>
      <c r="G9" s="91" t="s">
        <v>5</v>
      </c>
      <c r="H9" s="91" t="s">
        <v>6</v>
      </c>
      <c r="I9" s="91" t="s">
        <v>170</v>
      </c>
      <c r="J9" s="91" t="s">
        <v>169</v>
      </c>
      <c r="T9">
        <v>8</v>
      </c>
    </row>
    <row r="10" spans="1:20">
      <c r="A10" s="412" t="s">
        <v>451</v>
      </c>
      <c r="B10" s="436"/>
      <c r="C10" s="415"/>
      <c r="D10" s="378">
        <f>D33/($B$5*$B$6)</f>
        <v>151.36296000000002</v>
      </c>
      <c r="E10" s="378">
        <f t="shared" ref="E10:J10" si="0">E33/($B$5*$B$6)</f>
        <v>149.84933040000004</v>
      </c>
      <c r="F10" s="378">
        <f t="shared" si="0"/>
        <v>163.47199680000006</v>
      </c>
      <c r="G10" s="378">
        <f t="shared" si="0"/>
        <v>177.09466320000007</v>
      </c>
      <c r="H10" s="378">
        <f t="shared" si="0"/>
        <v>190.71732960000008</v>
      </c>
      <c r="I10" s="378">
        <f t="shared" si="0"/>
        <v>204.33999600000007</v>
      </c>
      <c r="J10" s="378">
        <f t="shared" si="0"/>
        <v>217.96266240000006</v>
      </c>
      <c r="T10">
        <f>+K8*T9</f>
        <v>16</v>
      </c>
    </row>
    <row r="11" spans="1:20">
      <c r="A11" s="437"/>
      <c r="B11" s="438"/>
      <c r="C11" s="439"/>
      <c r="D11" s="162"/>
      <c r="E11" s="162"/>
      <c r="F11" s="162"/>
      <c r="G11" s="162"/>
      <c r="H11" s="162"/>
      <c r="I11" s="162"/>
      <c r="J11" s="162"/>
      <c r="L11">
        <f>+J11*100/1000</f>
        <v>0</v>
      </c>
    </row>
    <row r="12" spans="1:20">
      <c r="A12" s="437" t="s">
        <v>2097</v>
      </c>
      <c r="B12" s="438"/>
      <c r="C12" s="439"/>
      <c r="D12" s="162">
        <f>'10.Grain Production details'!B77*50%</f>
        <v>5676.1110000000008</v>
      </c>
      <c r="E12" s="162">
        <f>'10.Grain Production details'!C77*45%</f>
        <v>5619.3498900000013</v>
      </c>
      <c r="F12" s="162">
        <f>'10.Grain Production details'!D77*45%</f>
        <v>6130.1998800000019</v>
      </c>
      <c r="G12" s="162">
        <f>'10.Grain Production details'!E77*45%</f>
        <v>6641.0498700000026</v>
      </c>
      <c r="H12" s="162">
        <f>'10.Grain Production details'!F77*45%</f>
        <v>7151.8998600000032</v>
      </c>
      <c r="I12" s="162">
        <f>'10.Grain Production details'!G77*45%</f>
        <v>7662.7498500000029</v>
      </c>
      <c r="J12" s="162">
        <f>'10.Grain Production details'!H77*45%</f>
        <v>8173.5998400000026</v>
      </c>
    </row>
    <row r="13" spans="1:20" hidden="1">
      <c r="A13" s="437" t="str">
        <f>'10.Grain Production details'!A44</f>
        <v>Paddy/Rice</v>
      </c>
      <c r="B13" s="438"/>
      <c r="C13" s="439"/>
      <c r="D13" s="162">
        <f>'10.Grain Production details'!B44</f>
        <v>0</v>
      </c>
      <c r="E13" s="162">
        <f>'10.Grain Production details'!C44</f>
        <v>0</v>
      </c>
      <c r="F13" s="162">
        <f>'10.Grain Production details'!D44</f>
        <v>0</v>
      </c>
      <c r="G13" s="162">
        <f>'10.Grain Production details'!E44</f>
        <v>0</v>
      </c>
      <c r="H13" s="162">
        <f>'10.Grain Production details'!F44</f>
        <v>0</v>
      </c>
      <c r="I13" s="162">
        <f>'10.Grain Production details'!G44</f>
        <v>0</v>
      </c>
      <c r="J13" s="162">
        <f>'10.Grain Production details'!H44</f>
        <v>0</v>
      </c>
      <c r="S13">
        <f>3*8</f>
        <v>24</v>
      </c>
    </row>
    <row r="14" spans="1:20" hidden="1">
      <c r="A14" s="437" t="str">
        <f>'10.Grain Production details'!A45</f>
        <v>Green Gram/ Moong</v>
      </c>
      <c r="B14" s="438"/>
      <c r="C14" s="439"/>
      <c r="D14" s="162">
        <f>'10.Grain Production details'!B45</f>
        <v>0</v>
      </c>
      <c r="E14" s="162">
        <f>'10.Grain Production details'!C45</f>
        <v>0</v>
      </c>
      <c r="F14" s="162">
        <f>'10.Grain Production details'!D45</f>
        <v>0</v>
      </c>
      <c r="G14" s="162">
        <f>'10.Grain Production details'!E45</f>
        <v>0</v>
      </c>
      <c r="H14" s="162">
        <f>'10.Grain Production details'!F45</f>
        <v>0</v>
      </c>
      <c r="I14" s="162">
        <f>'10.Grain Production details'!G45</f>
        <v>0</v>
      </c>
      <c r="J14" s="162">
        <f>'10.Grain Production details'!H45</f>
        <v>0</v>
      </c>
    </row>
    <row r="15" spans="1:20" hidden="1">
      <c r="A15" s="437" t="str">
        <f>'10.Grain Production details'!A46</f>
        <v>Maize</v>
      </c>
      <c r="B15" s="438"/>
      <c r="C15" s="439"/>
      <c r="D15" s="162">
        <f>'10.Grain Production details'!B46</f>
        <v>0</v>
      </c>
      <c r="E15" s="162">
        <f>'10.Grain Production details'!C46</f>
        <v>0</v>
      </c>
      <c r="F15" s="162">
        <f>'10.Grain Production details'!D46</f>
        <v>0</v>
      </c>
      <c r="G15" s="162">
        <f>'10.Grain Production details'!E46</f>
        <v>0</v>
      </c>
      <c r="H15" s="162">
        <f>'10.Grain Production details'!F46</f>
        <v>0</v>
      </c>
      <c r="I15" s="162">
        <f>'10.Grain Production details'!G46</f>
        <v>0</v>
      </c>
      <c r="J15" s="162">
        <f>'10.Grain Production details'!H46</f>
        <v>0</v>
      </c>
      <c r="L15">
        <f>+J15*100/1000</f>
        <v>0</v>
      </c>
      <c r="S15">
        <f>3000*8</f>
        <v>24000</v>
      </c>
    </row>
    <row r="16" spans="1:20" hidden="1">
      <c r="A16" s="437" t="str">
        <f>'10.Grain Production details'!A47</f>
        <v>Black Gram/Udid</v>
      </c>
      <c r="B16" s="438"/>
      <c r="C16" s="439"/>
      <c r="D16" s="162">
        <f>'10.Grain Production details'!B47</f>
        <v>0</v>
      </c>
      <c r="E16" s="162">
        <f>'10.Grain Production details'!C47</f>
        <v>0</v>
      </c>
      <c r="F16" s="162">
        <f>'10.Grain Production details'!D47</f>
        <v>0</v>
      </c>
      <c r="G16" s="162">
        <f>'10.Grain Production details'!E47</f>
        <v>0</v>
      </c>
      <c r="H16" s="162">
        <f>'10.Grain Production details'!F47</f>
        <v>0</v>
      </c>
      <c r="I16" s="162">
        <f>'10.Grain Production details'!G47</f>
        <v>0</v>
      </c>
      <c r="J16" s="162">
        <f>'10.Grain Production details'!H47</f>
        <v>0</v>
      </c>
    </row>
    <row r="17" spans="1:10" hidden="1">
      <c r="A17" s="437" t="str">
        <f>'10.Grain Production details'!A48</f>
        <v>Bajra</v>
      </c>
      <c r="B17" s="438"/>
      <c r="C17" s="439"/>
      <c r="D17" s="162">
        <f>'10.Grain Production details'!B48</f>
        <v>0</v>
      </c>
      <c r="E17" s="162">
        <f>'10.Grain Production details'!C48</f>
        <v>0</v>
      </c>
      <c r="F17" s="162">
        <f>'10.Grain Production details'!D48</f>
        <v>0</v>
      </c>
      <c r="G17" s="162">
        <f>'10.Grain Production details'!E48</f>
        <v>0</v>
      </c>
      <c r="H17" s="162">
        <f>'10.Grain Production details'!F48</f>
        <v>0</v>
      </c>
      <c r="I17" s="162">
        <f>'10.Grain Production details'!G48</f>
        <v>0</v>
      </c>
      <c r="J17" s="162">
        <f>'10.Grain Production details'!H48</f>
        <v>0</v>
      </c>
    </row>
    <row r="18" spans="1:10" hidden="1">
      <c r="A18" s="437" t="str">
        <f>'10.Grain Production details'!A49</f>
        <v>Jawar</v>
      </c>
      <c r="B18" s="438"/>
      <c r="C18" s="439"/>
      <c r="D18" s="162">
        <f>'10.Grain Production details'!B49</f>
        <v>0</v>
      </c>
      <c r="E18" s="162">
        <f>'10.Grain Production details'!C49</f>
        <v>0</v>
      </c>
      <c r="F18" s="162">
        <f>'10.Grain Production details'!D49</f>
        <v>0</v>
      </c>
      <c r="G18" s="162">
        <f>'10.Grain Production details'!E49</f>
        <v>0</v>
      </c>
      <c r="H18" s="162">
        <f>'10.Grain Production details'!F49</f>
        <v>0</v>
      </c>
      <c r="I18" s="162">
        <f>'10.Grain Production details'!G49</f>
        <v>0</v>
      </c>
      <c r="J18" s="162">
        <f>'10.Grain Production details'!H49</f>
        <v>0</v>
      </c>
    </row>
    <row r="19" spans="1:10" hidden="1">
      <c r="A19" s="437" t="str">
        <f>'10.Grain Production details'!A50</f>
        <v>Sunflower</v>
      </c>
      <c r="B19" s="438"/>
      <c r="C19" s="439"/>
      <c r="D19" s="162">
        <f>'10.Grain Production details'!B50</f>
        <v>0</v>
      </c>
      <c r="E19" s="162">
        <f>'10.Grain Production details'!C50</f>
        <v>0</v>
      </c>
      <c r="F19" s="162">
        <f>'10.Grain Production details'!D50</f>
        <v>0</v>
      </c>
      <c r="G19" s="162">
        <f>'10.Grain Production details'!E50</f>
        <v>0</v>
      </c>
      <c r="H19" s="162">
        <f>'10.Grain Production details'!F50</f>
        <v>0</v>
      </c>
      <c r="I19" s="162">
        <f>'10.Grain Production details'!G50</f>
        <v>0</v>
      </c>
      <c r="J19" s="162">
        <f>'10.Grain Production details'!H50</f>
        <v>0</v>
      </c>
    </row>
    <row r="20" spans="1:10" hidden="1">
      <c r="A20" s="437" t="str">
        <f>'10.Grain Production details'!A51</f>
        <v>Wheat</v>
      </c>
      <c r="B20" s="438"/>
      <c r="C20" s="439"/>
      <c r="D20" s="162">
        <f>'10.Grain Production details'!B51</f>
        <v>0</v>
      </c>
      <c r="E20" s="162">
        <f>'10.Grain Production details'!C51</f>
        <v>0</v>
      </c>
      <c r="F20" s="162">
        <f>'10.Grain Production details'!D51</f>
        <v>0</v>
      </c>
      <c r="G20" s="162">
        <f>'10.Grain Production details'!E51</f>
        <v>0</v>
      </c>
      <c r="H20" s="162">
        <f>'10.Grain Production details'!F51</f>
        <v>0</v>
      </c>
      <c r="I20" s="162">
        <f>'10.Grain Production details'!G51</f>
        <v>0</v>
      </c>
      <c r="J20" s="162">
        <f>'10.Grain Production details'!H51</f>
        <v>0</v>
      </c>
    </row>
    <row r="21" spans="1:10" hidden="1">
      <c r="A21" s="437" t="str">
        <f>'10.Grain Production details'!A52</f>
        <v>Bengal Gram/Channa</v>
      </c>
      <c r="B21" s="438"/>
      <c r="C21" s="439"/>
      <c r="D21" s="162">
        <f>'10.Grain Production details'!B52</f>
        <v>0</v>
      </c>
      <c r="E21" s="162">
        <f>'10.Grain Production details'!C52</f>
        <v>0</v>
      </c>
      <c r="F21" s="162">
        <f>'10.Grain Production details'!D52</f>
        <v>0</v>
      </c>
      <c r="G21" s="162">
        <f>'10.Grain Production details'!E52</f>
        <v>0</v>
      </c>
      <c r="H21" s="162">
        <f>'10.Grain Production details'!F52</f>
        <v>0</v>
      </c>
      <c r="I21" s="162">
        <f>'10.Grain Production details'!G52</f>
        <v>0</v>
      </c>
      <c r="J21" s="162">
        <f>'10.Grain Production details'!H52</f>
        <v>0</v>
      </c>
    </row>
    <row r="22" spans="1:10" hidden="1">
      <c r="A22" s="437" t="str">
        <f>'10.Grain Production details'!A53</f>
        <v>Jawar</v>
      </c>
      <c r="B22" s="438"/>
      <c r="C22" s="439"/>
      <c r="D22" s="162">
        <f>'10.Grain Production details'!B53</f>
        <v>0</v>
      </c>
      <c r="E22" s="162">
        <f>'10.Grain Production details'!C53</f>
        <v>0</v>
      </c>
      <c r="F22" s="162">
        <f>'10.Grain Production details'!D53</f>
        <v>0</v>
      </c>
      <c r="G22" s="162">
        <f>'10.Grain Production details'!E53</f>
        <v>0</v>
      </c>
      <c r="H22" s="162">
        <f>'10.Grain Production details'!F53</f>
        <v>0</v>
      </c>
      <c r="I22" s="162">
        <f>'10.Grain Production details'!G53</f>
        <v>0</v>
      </c>
      <c r="J22" s="162">
        <f>'10.Grain Production details'!H53</f>
        <v>0</v>
      </c>
    </row>
    <row r="23" spans="1:10" hidden="1">
      <c r="A23" s="437" t="str">
        <f>'10.Grain Production details'!A54</f>
        <v>Maize</v>
      </c>
      <c r="B23" s="438"/>
      <c r="C23" s="439"/>
      <c r="D23" s="162">
        <f>'10.Grain Production details'!B54</f>
        <v>0</v>
      </c>
      <c r="E23" s="162">
        <f>'10.Grain Production details'!C54</f>
        <v>0</v>
      </c>
      <c r="F23" s="162">
        <f>'10.Grain Production details'!D54</f>
        <v>0</v>
      </c>
      <c r="G23" s="162">
        <f>'10.Grain Production details'!E54</f>
        <v>0</v>
      </c>
      <c r="H23" s="162">
        <f>'10.Grain Production details'!F54</f>
        <v>0</v>
      </c>
      <c r="I23" s="162">
        <f>'10.Grain Production details'!G54</f>
        <v>0</v>
      </c>
      <c r="J23" s="162">
        <f>'10.Grain Production details'!H54</f>
        <v>0</v>
      </c>
    </row>
    <row r="24" spans="1:10" hidden="1">
      <c r="A24" s="437" t="str">
        <f>'10.Grain Production details'!A55</f>
        <v>Safflower</v>
      </c>
      <c r="B24" s="438"/>
      <c r="C24" s="439"/>
      <c r="D24" s="162">
        <f>'10.Grain Production details'!B55</f>
        <v>0</v>
      </c>
      <c r="E24" s="162">
        <f>'10.Grain Production details'!C55</f>
        <v>0</v>
      </c>
      <c r="F24" s="162">
        <f>'10.Grain Production details'!D55</f>
        <v>0</v>
      </c>
      <c r="G24" s="162">
        <f>'10.Grain Production details'!E55</f>
        <v>0</v>
      </c>
      <c r="H24" s="162">
        <f>'10.Grain Production details'!F55</f>
        <v>0</v>
      </c>
      <c r="I24" s="162">
        <f>'10.Grain Production details'!G55</f>
        <v>0</v>
      </c>
      <c r="J24" s="162">
        <f>'10.Grain Production details'!H55</f>
        <v>0</v>
      </c>
    </row>
    <row r="25" spans="1:10" hidden="1">
      <c r="A25" s="437">
        <f>'10.Grain Production details'!A56</f>
        <v>0</v>
      </c>
      <c r="B25" s="438"/>
      <c r="C25" s="439"/>
      <c r="D25" s="162">
        <f>'10.Grain Production details'!B56</f>
        <v>0</v>
      </c>
      <c r="E25" s="162">
        <f>'10.Grain Production details'!C56</f>
        <v>0</v>
      </c>
      <c r="F25" s="162">
        <f>'10.Grain Production details'!D56</f>
        <v>0</v>
      </c>
      <c r="G25" s="162">
        <f>'10.Grain Production details'!E56</f>
        <v>0</v>
      </c>
      <c r="H25" s="162">
        <f>'10.Grain Production details'!F56</f>
        <v>0</v>
      </c>
      <c r="I25" s="162">
        <f>'10.Grain Production details'!G56</f>
        <v>0</v>
      </c>
      <c r="J25" s="162">
        <f>'10.Grain Production details'!H56</f>
        <v>0</v>
      </c>
    </row>
    <row r="26" spans="1:10" hidden="1">
      <c r="A26" s="437">
        <f>'10.Grain Production details'!A57</f>
        <v>0</v>
      </c>
      <c r="B26" s="438"/>
      <c r="C26" s="439"/>
      <c r="D26" s="162">
        <f>'10.Grain Production details'!B57</f>
        <v>0</v>
      </c>
      <c r="E26" s="162">
        <f>'10.Grain Production details'!C57</f>
        <v>0</v>
      </c>
      <c r="F26" s="162">
        <f>'10.Grain Production details'!D57</f>
        <v>0</v>
      </c>
      <c r="G26" s="162">
        <f>'10.Grain Production details'!E57</f>
        <v>0</v>
      </c>
      <c r="H26" s="162">
        <f>'10.Grain Production details'!F57</f>
        <v>0</v>
      </c>
      <c r="I26" s="162">
        <f>'10.Grain Production details'!G57</f>
        <v>0</v>
      </c>
      <c r="J26" s="162">
        <f>'10.Grain Production details'!H57</f>
        <v>0</v>
      </c>
    </row>
    <row r="27" spans="1:10" hidden="1">
      <c r="A27" s="437">
        <f>'10.Grain Production details'!A58</f>
        <v>0</v>
      </c>
      <c r="B27" s="438"/>
      <c r="C27" s="439"/>
      <c r="D27" s="162">
        <f>'10.Grain Production details'!B58</f>
        <v>0</v>
      </c>
      <c r="E27" s="162">
        <f>'10.Grain Production details'!C58</f>
        <v>0</v>
      </c>
      <c r="F27" s="162">
        <f>'10.Grain Production details'!D58</f>
        <v>0</v>
      </c>
      <c r="G27" s="162">
        <f>'10.Grain Production details'!E58</f>
        <v>0</v>
      </c>
      <c r="H27" s="162">
        <f>'10.Grain Production details'!F58</f>
        <v>0</v>
      </c>
      <c r="I27" s="162">
        <f>'10.Grain Production details'!G58</f>
        <v>0</v>
      </c>
      <c r="J27" s="162">
        <f>'10.Grain Production details'!H58</f>
        <v>0</v>
      </c>
    </row>
    <row r="28" spans="1:10" hidden="1">
      <c r="A28" s="437" t="str">
        <f>'10.Grain Production details'!A59</f>
        <v>Groundnut</v>
      </c>
      <c r="B28" s="438"/>
      <c r="C28" s="439"/>
      <c r="D28" s="162">
        <f>'10.Grain Production details'!B59</f>
        <v>0</v>
      </c>
      <c r="E28" s="162">
        <f>'10.Grain Production details'!C59</f>
        <v>0</v>
      </c>
      <c r="F28" s="162">
        <f>'10.Grain Production details'!D59</f>
        <v>0</v>
      </c>
      <c r="G28" s="162">
        <f>'10.Grain Production details'!E59</f>
        <v>0</v>
      </c>
      <c r="H28" s="162">
        <f>'10.Grain Production details'!F59</f>
        <v>0</v>
      </c>
      <c r="I28" s="162">
        <f>'10.Grain Production details'!G59</f>
        <v>0</v>
      </c>
      <c r="J28" s="162">
        <f>'10.Grain Production details'!H59</f>
        <v>0</v>
      </c>
    </row>
    <row r="29" spans="1:10" hidden="1">
      <c r="A29" s="437">
        <f>'10.Grain Production details'!A60</f>
        <v>0</v>
      </c>
      <c r="B29" s="438"/>
      <c r="C29" s="439"/>
      <c r="D29" s="162">
        <f>'10.Grain Production details'!B60</f>
        <v>0</v>
      </c>
      <c r="E29" s="162">
        <f>'10.Grain Production details'!C60</f>
        <v>0</v>
      </c>
      <c r="F29" s="162">
        <f>'10.Grain Production details'!D60</f>
        <v>0</v>
      </c>
      <c r="G29" s="162">
        <f>'10.Grain Production details'!E60</f>
        <v>0</v>
      </c>
      <c r="H29" s="162">
        <f>'10.Grain Production details'!F60</f>
        <v>0</v>
      </c>
      <c r="I29" s="162">
        <f>'10.Grain Production details'!G60</f>
        <v>0</v>
      </c>
      <c r="J29" s="162">
        <f>'10.Grain Production details'!H60</f>
        <v>0</v>
      </c>
    </row>
    <row r="30" spans="1:10" hidden="1">
      <c r="A30" s="437">
        <f>'10.Grain Production details'!A61</f>
        <v>0</v>
      </c>
      <c r="B30" s="438"/>
      <c r="C30" s="439"/>
      <c r="D30" s="162">
        <f>'10.Grain Production details'!B61</f>
        <v>0</v>
      </c>
      <c r="E30" s="162">
        <f>'10.Grain Production details'!C61</f>
        <v>0</v>
      </c>
      <c r="F30" s="162">
        <f>'10.Grain Production details'!D61</f>
        <v>0</v>
      </c>
      <c r="G30" s="162">
        <f>'10.Grain Production details'!E61</f>
        <v>0</v>
      </c>
      <c r="H30" s="162">
        <f>'10.Grain Production details'!F61</f>
        <v>0</v>
      </c>
      <c r="I30" s="162">
        <f>'10.Grain Production details'!G61</f>
        <v>0</v>
      </c>
      <c r="J30" s="162">
        <f>'10.Grain Production details'!H61</f>
        <v>0</v>
      </c>
    </row>
    <row r="31" spans="1:10" hidden="1">
      <c r="A31" s="437">
        <f>'10.Grain Production details'!A62</f>
        <v>0</v>
      </c>
      <c r="B31" s="438"/>
      <c r="C31" s="439"/>
      <c r="D31" s="162">
        <f>'10.Grain Production details'!B62</f>
        <v>0</v>
      </c>
      <c r="E31" s="162">
        <f>'10.Grain Production details'!C62</f>
        <v>0</v>
      </c>
      <c r="F31" s="162">
        <f>'10.Grain Production details'!D62</f>
        <v>0</v>
      </c>
      <c r="G31" s="162">
        <f>'10.Grain Production details'!E62</f>
        <v>0</v>
      </c>
      <c r="H31" s="162">
        <f>'10.Grain Production details'!F62</f>
        <v>0</v>
      </c>
      <c r="I31" s="162">
        <f>'10.Grain Production details'!G62</f>
        <v>0</v>
      </c>
      <c r="J31" s="162">
        <f>'10.Grain Production details'!H62</f>
        <v>0</v>
      </c>
    </row>
    <row r="32" spans="1:10">
      <c r="A32" s="437">
        <f>'10.Grain Production details'!B63</f>
        <v>0</v>
      </c>
      <c r="B32" s="438"/>
      <c r="C32" s="439"/>
      <c r="D32" s="162">
        <f>'10.Grain Production details'!C63</f>
        <v>0</v>
      </c>
      <c r="E32" s="162">
        <f>'10.Grain Production details'!D63</f>
        <v>0</v>
      </c>
      <c r="F32" s="162">
        <f>'10.Grain Production details'!E63</f>
        <v>0</v>
      </c>
      <c r="G32" s="162">
        <f>'10.Grain Production details'!F63</f>
        <v>0</v>
      </c>
      <c r="H32" s="162">
        <f>'10.Grain Production details'!G63</f>
        <v>0</v>
      </c>
      <c r="I32" s="162">
        <f>'10.Grain Production details'!H63</f>
        <v>0</v>
      </c>
      <c r="J32" s="162">
        <f>'10.Grain Production details'!N63</f>
        <v>0</v>
      </c>
    </row>
    <row r="33" spans="1:20">
      <c r="A33" s="414" t="s">
        <v>515</v>
      </c>
      <c r="B33" s="440"/>
      <c r="C33" s="417"/>
      <c r="D33" s="162">
        <f t="shared" ref="D33:J33" si="1">SUM(D11:D32)</f>
        <v>5676.1110000000008</v>
      </c>
      <c r="E33" s="162">
        <f t="shared" si="1"/>
        <v>5619.3498900000013</v>
      </c>
      <c r="F33" s="162">
        <f t="shared" si="1"/>
        <v>6130.1998800000019</v>
      </c>
      <c r="G33" s="162">
        <f t="shared" si="1"/>
        <v>6641.0498700000026</v>
      </c>
      <c r="H33" s="162">
        <f t="shared" si="1"/>
        <v>7151.8998600000032</v>
      </c>
      <c r="I33" s="162">
        <f t="shared" si="1"/>
        <v>7662.7498500000029</v>
      </c>
      <c r="J33" s="162">
        <f t="shared" si="1"/>
        <v>8173.5998400000026</v>
      </c>
      <c r="T33">
        <f>+D33*100/1000</f>
        <v>567.61110000000008</v>
      </c>
    </row>
    <row r="34" spans="1:20" hidden="1">
      <c r="A34" s="437" t="str">
        <f>'11.F&amp;V Crop Production details'!A1:H1</f>
        <v>Fruit  &amp; Vegetables Crop Production Details</v>
      </c>
      <c r="B34" s="438"/>
      <c r="C34" s="439"/>
      <c r="D34" s="162"/>
      <c r="E34" s="162"/>
      <c r="F34" s="162"/>
      <c r="G34" s="162"/>
      <c r="H34" s="162"/>
      <c r="I34" s="162"/>
      <c r="J34" s="162"/>
      <c r="T34">
        <f>+T33/10</f>
        <v>56.761110000000009</v>
      </c>
    </row>
    <row r="35" spans="1:20" hidden="1">
      <c r="A35" s="437" t="str">
        <f>'11.F&amp;V Crop Production details'!A48</f>
        <v>Exotic Vegitables</v>
      </c>
      <c r="B35" s="438"/>
      <c r="C35" s="439"/>
      <c r="D35" s="162">
        <v>0</v>
      </c>
      <c r="E35" s="162">
        <v>0</v>
      </c>
      <c r="F35" s="162">
        <v>0</v>
      </c>
      <c r="G35" s="162">
        <v>0</v>
      </c>
      <c r="H35" s="162">
        <v>0</v>
      </c>
      <c r="I35" s="162">
        <v>0</v>
      </c>
      <c r="J35" s="162">
        <v>0</v>
      </c>
    </row>
    <row r="36" spans="1:20" hidden="1">
      <c r="A36" s="437" t="str">
        <f>'11.F&amp;V Crop Production details'!A49</f>
        <v>Tomato</v>
      </c>
      <c r="B36" s="438"/>
      <c r="C36" s="439"/>
      <c r="D36" s="162">
        <v>0</v>
      </c>
      <c r="E36" s="162">
        <v>0</v>
      </c>
      <c r="F36" s="162">
        <v>0</v>
      </c>
      <c r="G36" s="162">
        <v>0</v>
      </c>
      <c r="H36" s="162">
        <v>0</v>
      </c>
      <c r="I36" s="162">
        <v>0</v>
      </c>
      <c r="J36" s="162">
        <v>0</v>
      </c>
    </row>
    <row r="37" spans="1:20" hidden="1">
      <c r="A37" s="437" t="str">
        <f>'11.F&amp;V Crop Production details'!A50</f>
        <v>Okra</v>
      </c>
      <c r="B37" s="438"/>
      <c r="C37" s="439"/>
      <c r="D37" s="162">
        <v>0</v>
      </c>
      <c r="E37" s="162">
        <v>0</v>
      </c>
      <c r="F37" s="162">
        <v>0</v>
      </c>
      <c r="G37" s="162">
        <v>0</v>
      </c>
      <c r="H37" s="162">
        <v>0</v>
      </c>
      <c r="I37" s="162">
        <v>0</v>
      </c>
      <c r="J37" s="162">
        <v>0</v>
      </c>
    </row>
    <row r="38" spans="1:20" hidden="1">
      <c r="A38" s="437" t="str">
        <f>'11.F&amp;V Crop Production details'!A51</f>
        <v>Chilli</v>
      </c>
      <c r="B38" s="438"/>
      <c r="C38" s="439"/>
      <c r="D38" s="162">
        <v>0</v>
      </c>
      <c r="E38" s="162">
        <v>0</v>
      </c>
      <c r="F38" s="162">
        <v>0</v>
      </c>
      <c r="G38" s="162">
        <v>0</v>
      </c>
      <c r="H38" s="162">
        <v>0</v>
      </c>
      <c r="I38" s="162">
        <v>0</v>
      </c>
      <c r="J38" s="162">
        <v>0</v>
      </c>
    </row>
    <row r="39" spans="1:20" hidden="1">
      <c r="A39" s="437" t="str">
        <f>'11.F&amp;V Crop Production details'!A52</f>
        <v>Potato</v>
      </c>
      <c r="B39" s="438"/>
      <c r="C39" s="439"/>
      <c r="D39" s="162">
        <v>0</v>
      </c>
      <c r="E39" s="162">
        <v>0</v>
      </c>
      <c r="F39" s="162">
        <v>0</v>
      </c>
      <c r="G39" s="162">
        <v>0</v>
      </c>
      <c r="H39" s="162">
        <v>0</v>
      </c>
      <c r="I39" s="162">
        <v>0</v>
      </c>
      <c r="J39" s="162">
        <v>0</v>
      </c>
    </row>
    <row r="40" spans="1:20" hidden="1">
      <c r="A40" s="437" t="str">
        <f>'11.F&amp;V Crop Production details'!A53</f>
        <v>Cabbage</v>
      </c>
      <c r="B40" s="438"/>
      <c r="C40" s="439"/>
      <c r="D40" s="162">
        <v>0</v>
      </c>
      <c r="E40" s="162">
        <v>0</v>
      </c>
      <c r="F40" s="162">
        <v>0</v>
      </c>
      <c r="G40" s="162">
        <v>0</v>
      </c>
      <c r="H40" s="162">
        <v>0</v>
      </c>
      <c r="I40" s="162">
        <v>0</v>
      </c>
      <c r="J40" s="162">
        <v>0</v>
      </c>
    </row>
    <row r="41" spans="1:20" hidden="1">
      <c r="A41" s="437" t="str">
        <f>'11.F&amp;V Crop Production details'!A54</f>
        <v>Coliflower</v>
      </c>
      <c r="B41" s="438"/>
      <c r="C41" s="439"/>
      <c r="D41" s="162">
        <v>0</v>
      </c>
      <c r="E41" s="162">
        <v>0</v>
      </c>
      <c r="F41" s="162">
        <v>0</v>
      </c>
      <c r="G41" s="162">
        <v>0</v>
      </c>
      <c r="H41" s="162">
        <v>0</v>
      </c>
      <c r="I41" s="162">
        <v>0</v>
      </c>
      <c r="J41" s="162">
        <v>0</v>
      </c>
    </row>
    <row r="42" spans="1:20" hidden="1">
      <c r="A42" s="437" t="str">
        <f>'11.F&amp;V Crop Production details'!A55</f>
        <v>Bitter Gurd</v>
      </c>
      <c r="B42" s="438"/>
      <c r="C42" s="439"/>
      <c r="D42" s="162">
        <v>0</v>
      </c>
      <c r="E42" s="162">
        <v>0</v>
      </c>
      <c r="F42" s="162">
        <v>0</v>
      </c>
      <c r="G42" s="162">
        <v>0</v>
      </c>
      <c r="H42" s="162">
        <v>0</v>
      </c>
      <c r="I42" s="162">
        <v>0</v>
      </c>
      <c r="J42" s="162">
        <v>0</v>
      </c>
    </row>
    <row r="43" spans="1:20" hidden="1">
      <c r="A43" s="437">
        <f>'11.F&amp;V Crop Production details'!A56</f>
        <v>0</v>
      </c>
      <c r="B43" s="438"/>
      <c r="C43" s="439"/>
      <c r="D43" s="162">
        <v>0</v>
      </c>
      <c r="E43" s="162">
        <v>0</v>
      </c>
      <c r="F43" s="162">
        <v>0</v>
      </c>
      <c r="G43" s="162">
        <v>0</v>
      </c>
      <c r="H43" s="162">
        <v>0</v>
      </c>
      <c r="I43" s="162">
        <v>0</v>
      </c>
      <c r="J43" s="162">
        <v>0</v>
      </c>
    </row>
    <row r="44" spans="1:20" hidden="1">
      <c r="A44" s="437" t="str">
        <f>'11.F&amp;V Crop Production details'!A57</f>
        <v>Exotic Vegitables</v>
      </c>
      <c r="B44" s="438"/>
      <c r="C44" s="439"/>
      <c r="D44" s="162">
        <v>0</v>
      </c>
      <c r="E44" s="162">
        <v>0</v>
      </c>
      <c r="F44" s="162">
        <v>0</v>
      </c>
      <c r="G44" s="162">
        <v>0</v>
      </c>
      <c r="H44" s="162">
        <v>0</v>
      </c>
      <c r="I44" s="162">
        <v>0</v>
      </c>
      <c r="J44" s="162">
        <v>0</v>
      </c>
    </row>
    <row r="45" spans="1:20" hidden="1">
      <c r="A45" s="437" t="str">
        <f>'11.F&amp;V Crop Production details'!A58</f>
        <v>Tomato</v>
      </c>
      <c r="B45" s="438"/>
      <c r="C45" s="439"/>
      <c r="D45" s="162">
        <v>0</v>
      </c>
      <c r="E45" s="162">
        <v>0</v>
      </c>
      <c r="F45" s="162">
        <v>0</v>
      </c>
      <c r="G45" s="162">
        <v>0</v>
      </c>
      <c r="H45" s="162">
        <v>0</v>
      </c>
      <c r="I45" s="162">
        <v>0</v>
      </c>
      <c r="J45" s="162">
        <v>0</v>
      </c>
    </row>
    <row r="46" spans="1:20" hidden="1">
      <c r="A46" s="437" t="str">
        <f>'11.F&amp;V Crop Production details'!A59</f>
        <v>Okra</v>
      </c>
      <c r="B46" s="438"/>
      <c r="C46" s="439"/>
      <c r="D46" s="162">
        <v>0</v>
      </c>
      <c r="E46" s="162">
        <v>0</v>
      </c>
      <c r="F46" s="162">
        <v>0</v>
      </c>
      <c r="G46" s="162">
        <v>0</v>
      </c>
      <c r="H46" s="162">
        <v>0</v>
      </c>
      <c r="I46" s="162">
        <v>0</v>
      </c>
      <c r="J46" s="162">
        <v>0</v>
      </c>
    </row>
    <row r="47" spans="1:20" hidden="1">
      <c r="A47" s="437" t="str">
        <f>'11.F&amp;V Crop Production details'!A60</f>
        <v>Chilli</v>
      </c>
      <c r="B47" s="438"/>
      <c r="C47" s="439"/>
      <c r="D47" s="162">
        <v>0</v>
      </c>
      <c r="E47" s="162">
        <v>0</v>
      </c>
      <c r="F47" s="162">
        <v>0</v>
      </c>
      <c r="G47" s="162">
        <v>0</v>
      </c>
      <c r="H47" s="162">
        <v>0</v>
      </c>
      <c r="I47" s="162">
        <v>0</v>
      </c>
      <c r="J47" s="162">
        <v>0</v>
      </c>
    </row>
    <row r="48" spans="1:20" hidden="1">
      <c r="A48" s="437" t="str">
        <f>'11.F&amp;V Crop Production details'!A61</f>
        <v>Brinjal</v>
      </c>
      <c r="B48" s="438"/>
      <c r="C48" s="439"/>
      <c r="D48" s="162">
        <v>0</v>
      </c>
      <c r="E48" s="162">
        <v>0</v>
      </c>
      <c r="F48" s="162">
        <v>0</v>
      </c>
      <c r="G48" s="162">
        <v>0</v>
      </c>
      <c r="H48" s="162">
        <v>0</v>
      </c>
      <c r="I48" s="162">
        <v>0</v>
      </c>
      <c r="J48" s="162">
        <v>0</v>
      </c>
    </row>
    <row r="49" spans="1:10" hidden="1">
      <c r="A49" s="437" t="str">
        <f>'11.F&amp;V Crop Production details'!A62</f>
        <v>Ginger</v>
      </c>
      <c r="B49" s="438"/>
      <c r="C49" s="439"/>
      <c r="D49" s="162">
        <v>0</v>
      </c>
      <c r="E49" s="162">
        <v>0</v>
      </c>
      <c r="F49" s="162">
        <v>0</v>
      </c>
      <c r="G49" s="162">
        <v>0</v>
      </c>
      <c r="H49" s="162">
        <v>0</v>
      </c>
      <c r="I49" s="162">
        <v>0</v>
      </c>
      <c r="J49" s="162">
        <v>0</v>
      </c>
    </row>
    <row r="50" spans="1:10" hidden="1">
      <c r="A50" s="437">
        <f>'11.F&amp;V Crop Production details'!A63</f>
        <v>0</v>
      </c>
      <c r="B50" s="438"/>
      <c r="C50" s="439"/>
      <c r="D50" s="162">
        <v>0</v>
      </c>
      <c r="E50" s="162">
        <v>0</v>
      </c>
      <c r="F50" s="162">
        <v>0</v>
      </c>
      <c r="G50" s="162">
        <v>0</v>
      </c>
      <c r="H50" s="162">
        <v>0</v>
      </c>
      <c r="I50" s="162">
        <v>0</v>
      </c>
      <c r="J50" s="162">
        <v>0</v>
      </c>
    </row>
    <row r="51" spans="1:10" hidden="1">
      <c r="A51" s="437">
        <f>'11.F&amp;V Crop Production details'!A64</f>
        <v>0</v>
      </c>
      <c r="B51" s="438"/>
      <c r="C51" s="439"/>
      <c r="D51" s="162">
        <v>0</v>
      </c>
      <c r="E51" s="162">
        <v>0</v>
      </c>
      <c r="F51" s="162">
        <v>0</v>
      </c>
      <c r="G51" s="162">
        <v>0</v>
      </c>
      <c r="H51" s="162">
        <v>0</v>
      </c>
      <c r="I51" s="162">
        <v>0</v>
      </c>
      <c r="J51" s="162">
        <v>0</v>
      </c>
    </row>
    <row r="52" spans="1:10" hidden="1">
      <c r="A52" s="437" t="str">
        <f>'11.F&amp;V Crop Production details'!A65</f>
        <v>Spinach</v>
      </c>
      <c r="B52" s="438"/>
      <c r="C52" s="439"/>
      <c r="D52" s="162">
        <v>0</v>
      </c>
      <c r="E52" s="162">
        <v>0</v>
      </c>
      <c r="F52" s="162">
        <v>0</v>
      </c>
      <c r="G52" s="162">
        <v>0</v>
      </c>
      <c r="H52" s="162">
        <v>0</v>
      </c>
      <c r="I52" s="162">
        <v>0</v>
      </c>
      <c r="J52" s="162">
        <v>0</v>
      </c>
    </row>
    <row r="53" spans="1:10" hidden="1">
      <c r="A53" s="437" t="str">
        <f>'11.F&amp;V Crop Production details'!A66</f>
        <v>Fenugreek</v>
      </c>
      <c r="B53" s="438"/>
      <c r="C53" s="439"/>
      <c r="D53" s="162">
        <v>0</v>
      </c>
      <c r="E53" s="162">
        <v>0</v>
      </c>
      <c r="F53" s="162">
        <v>0</v>
      </c>
      <c r="G53" s="162">
        <v>0</v>
      </c>
      <c r="H53" s="162">
        <v>0</v>
      </c>
      <c r="I53" s="162">
        <v>0</v>
      </c>
      <c r="J53" s="162">
        <v>0</v>
      </c>
    </row>
    <row r="54" spans="1:10" hidden="1">
      <c r="A54" s="437" t="str">
        <f>'11.F&amp;V Crop Production details'!A67</f>
        <v>coriander</v>
      </c>
      <c r="B54" s="438"/>
      <c r="C54" s="439"/>
      <c r="D54" s="162">
        <v>0</v>
      </c>
      <c r="E54" s="162">
        <v>0</v>
      </c>
      <c r="F54" s="162">
        <v>0</v>
      </c>
      <c r="G54" s="162">
        <v>0</v>
      </c>
      <c r="H54" s="162">
        <v>0</v>
      </c>
      <c r="I54" s="162">
        <v>0</v>
      </c>
      <c r="J54" s="162">
        <v>0</v>
      </c>
    </row>
    <row r="55" spans="1:10" hidden="1">
      <c r="A55" s="437" t="str">
        <f>'11.F&amp;V Crop Production details'!A68</f>
        <v>Shepu</v>
      </c>
      <c r="B55" s="438"/>
      <c r="C55" s="439"/>
      <c r="D55" s="162">
        <v>0</v>
      </c>
      <c r="E55" s="162">
        <v>0</v>
      </c>
      <c r="F55" s="162">
        <v>0</v>
      </c>
      <c r="G55" s="162">
        <v>0</v>
      </c>
      <c r="H55" s="162">
        <v>0</v>
      </c>
      <c r="I55" s="162">
        <v>0</v>
      </c>
      <c r="J55" s="162">
        <v>0</v>
      </c>
    </row>
    <row r="56" spans="1:10" hidden="1">
      <c r="A56" s="437" t="str">
        <f>'11.F&amp;V Crop Production details'!A70</f>
        <v>Pomegranate</v>
      </c>
      <c r="B56" s="438"/>
      <c r="C56" s="439"/>
      <c r="D56" s="162">
        <v>0</v>
      </c>
      <c r="E56" s="162">
        <v>0</v>
      </c>
      <c r="F56" s="162">
        <v>0</v>
      </c>
      <c r="G56" s="162">
        <v>0</v>
      </c>
      <c r="H56" s="162">
        <v>0</v>
      </c>
      <c r="I56" s="162">
        <v>0</v>
      </c>
      <c r="J56" s="162">
        <v>0</v>
      </c>
    </row>
    <row r="57" spans="1:10" hidden="1">
      <c r="A57" s="437" t="str">
        <f>'11.F&amp;V Crop Production details'!A71</f>
        <v>Banana</v>
      </c>
      <c r="B57" s="438"/>
      <c r="C57" s="439"/>
      <c r="D57" s="162">
        <v>0</v>
      </c>
      <c r="E57" s="162">
        <v>0</v>
      </c>
      <c r="F57" s="162">
        <v>0</v>
      </c>
      <c r="G57" s="162">
        <v>0</v>
      </c>
      <c r="H57" s="162">
        <v>0</v>
      </c>
      <c r="I57" s="162">
        <v>0</v>
      </c>
      <c r="J57" s="162">
        <v>0</v>
      </c>
    </row>
    <row r="58" spans="1:10" hidden="1">
      <c r="A58" s="437" t="str">
        <f>'11.F&amp;V Crop Production details'!A72</f>
        <v>Graps</v>
      </c>
      <c r="B58" s="438"/>
      <c r="C58" s="439"/>
      <c r="D58" s="162">
        <v>0</v>
      </c>
      <c r="E58" s="162">
        <v>0</v>
      </c>
      <c r="F58" s="162">
        <v>0</v>
      </c>
      <c r="G58" s="162">
        <v>0</v>
      </c>
      <c r="H58" s="162">
        <v>0</v>
      </c>
      <c r="I58" s="162">
        <v>0</v>
      </c>
      <c r="J58" s="162">
        <v>0</v>
      </c>
    </row>
    <row r="59" spans="1:10" hidden="1">
      <c r="A59" s="437" t="str">
        <f>'11.F&amp;V Crop Production details'!A74</f>
        <v>Citrus</v>
      </c>
      <c r="B59" s="438"/>
      <c r="C59" s="439"/>
      <c r="D59" s="162">
        <v>0</v>
      </c>
      <c r="E59" s="162">
        <v>0</v>
      </c>
      <c r="F59" s="162">
        <v>0</v>
      </c>
      <c r="G59" s="162">
        <v>0</v>
      </c>
      <c r="H59" s="162">
        <v>0</v>
      </c>
      <c r="I59" s="162">
        <v>0</v>
      </c>
      <c r="J59" s="162">
        <v>0</v>
      </c>
    </row>
    <row r="60" spans="1:10">
      <c r="A60" s="437"/>
      <c r="B60" s="438"/>
      <c r="C60" s="439"/>
      <c r="D60" s="162"/>
      <c r="E60" s="162"/>
      <c r="F60" s="162"/>
      <c r="G60" s="162"/>
      <c r="H60" s="162"/>
      <c r="I60" s="162"/>
      <c r="J60" s="162"/>
    </row>
    <row r="61" spans="1:10">
      <c r="A61" s="414" t="s">
        <v>514</v>
      </c>
      <c r="B61" s="440"/>
      <c r="C61" s="417"/>
      <c r="D61" s="162">
        <f t="shared" ref="D61:J61" si="2">SUM(D35:D59)</f>
        <v>0</v>
      </c>
      <c r="E61" s="162">
        <f t="shared" si="2"/>
        <v>0</v>
      </c>
      <c r="F61" s="162">
        <f t="shared" si="2"/>
        <v>0</v>
      </c>
      <c r="G61" s="162">
        <f t="shared" si="2"/>
        <v>0</v>
      </c>
      <c r="H61" s="162">
        <f t="shared" si="2"/>
        <v>0</v>
      </c>
      <c r="I61" s="162">
        <f t="shared" si="2"/>
        <v>0</v>
      </c>
      <c r="J61" s="162">
        <f t="shared" si="2"/>
        <v>0</v>
      </c>
    </row>
    <row r="62" spans="1:10">
      <c r="A62" s="433" t="s">
        <v>0</v>
      </c>
      <c r="B62" s="434"/>
      <c r="C62" s="435"/>
      <c r="D62" s="91" t="s">
        <v>2</v>
      </c>
      <c r="E62" s="91" t="s">
        <v>3</v>
      </c>
      <c r="F62" s="91" t="s">
        <v>4</v>
      </c>
      <c r="G62" s="91" t="s">
        <v>5</v>
      </c>
      <c r="H62" s="91" t="s">
        <v>6</v>
      </c>
      <c r="I62" s="91" t="s">
        <v>170</v>
      </c>
      <c r="J62" s="91" t="s">
        <v>169</v>
      </c>
    </row>
    <row r="63" spans="1:10">
      <c r="A63" s="441" t="s">
        <v>516</v>
      </c>
      <c r="B63" s="442"/>
      <c r="C63" s="443"/>
      <c r="D63" s="216">
        <v>0.9</v>
      </c>
      <c r="E63" s="216">
        <f t="shared" ref="E63:J63" si="3">D63</f>
        <v>0.9</v>
      </c>
      <c r="F63" s="216">
        <f t="shared" si="3"/>
        <v>0.9</v>
      </c>
      <c r="G63" s="216">
        <f t="shared" si="3"/>
        <v>0.9</v>
      </c>
      <c r="H63" s="216">
        <f t="shared" si="3"/>
        <v>0.9</v>
      </c>
      <c r="I63" s="216">
        <f t="shared" si="3"/>
        <v>0.9</v>
      </c>
      <c r="J63" s="216">
        <f t="shared" si="3"/>
        <v>0.9</v>
      </c>
    </row>
    <row r="64" spans="1:10">
      <c r="A64" s="441" t="s">
        <v>517</v>
      </c>
      <c r="B64" s="442"/>
      <c r="C64" s="443"/>
      <c r="D64" s="216">
        <f t="shared" ref="D64:J64" si="4">1-D63</f>
        <v>9.9999999999999978E-2</v>
      </c>
      <c r="E64" s="216">
        <f t="shared" si="4"/>
        <v>9.9999999999999978E-2</v>
      </c>
      <c r="F64" s="216">
        <f t="shared" si="4"/>
        <v>9.9999999999999978E-2</v>
      </c>
      <c r="G64" s="216">
        <f t="shared" si="4"/>
        <v>9.9999999999999978E-2</v>
      </c>
      <c r="H64" s="216">
        <f t="shared" si="4"/>
        <v>9.9999999999999978E-2</v>
      </c>
      <c r="I64" s="216">
        <f t="shared" si="4"/>
        <v>9.9999999999999978E-2</v>
      </c>
      <c r="J64" s="216">
        <f t="shared" si="4"/>
        <v>9.9999999999999978E-2</v>
      </c>
    </row>
    <row r="65" spans="1:11">
      <c r="A65" s="441"/>
      <c r="B65" s="442"/>
      <c r="C65" s="443"/>
      <c r="D65" s="216"/>
      <c r="E65" s="216"/>
      <c r="F65" s="216"/>
      <c r="G65" s="216"/>
      <c r="H65" s="216"/>
      <c r="I65" s="216"/>
      <c r="J65" s="216"/>
    </row>
    <row r="66" spans="1:11">
      <c r="A66" s="441" t="s">
        <v>166</v>
      </c>
      <c r="B66" s="442"/>
      <c r="C66" s="443"/>
      <c r="D66" s="205">
        <f t="shared" ref="D66:J66" si="5">D33*D63</f>
        <v>5108.4999000000007</v>
      </c>
      <c r="E66" s="205">
        <f t="shared" si="5"/>
        <v>5057.414901000001</v>
      </c>
      <c r="F66" s="205">
        <f t="shared" si="5"/>
        <v>5517.1798920000019</v>
      </c>
      <c r="G66" s="205">
        <f t="shared" si="5"/>
        <v>5976.9448830000028</v>
      </c>
      <c r="H66" s="205">
        <f t="shared" si="5"/>
        <v>6436.7098740000029</v>
      </c>
      <c r="I66" s="205">
        <f t="shared" si="5"/>
        <v>6896.4748650000029</v>
      </c>
      <c r="J66" s="205">
        <f t="shared" si="5"/>
        <v>7356.2398560000029</v>
      </c>
      <c r="K66" s="21"/>
    </row>
    <row r="67" spans="1:11" ht="7.5" customHeight="1">
      <c r="A67" s="414"/>
      <c r="B67" s="440"/>
      <c r="C67" s="417"/>
      <c r="D67" s="162"/>
      <c r="E67" s="162"/>
      <c r="F67" s="162"/>
      <c r="G67" s="162"/>
      <c r="H67" s="162"/>
      <c r="I67" s="162"/>
      <c r="J67" s="162"/>
    </row>
    <row r="68" spans="1:11">
      <c r="A68" s="414" t="s">
        <v>167</v>
      </c>
      <c r="B68" s="440"/>
      <c r="C68" s="417"/>
      <c r="D68" s="162"/>
      <c r="E68" s="162"/>
      <c r="F68" s="162"/>
      <c r="G68" s="162"/>
      <c r="H68" s="162"/>
      <c r="I68" s="162"/>
      <c r="J68" s="162"/>
    </row>
    <row r="69" spans="1:11">
      <c r="A69" s="412">
        <f t="shared" ref="A69:A90" si="6">A11</f>
        <v>0</v>
      </c>
      <c r="B69" s="436"/>
      <c r="C69" s="415"/>
      <c r="D69" s="377">
        <f>D11*$D$64</f>
        <v>0</v>
      </c>
      <c r="E69" s="215">
        <f t="shared" ref="E69:E84" si="7">E11*$E$64</f>
        <v>0</v>
      </c>
      <c r="F69" s="215">
        <f t="shared" ref="F69:F84" si="8">F11*$F$64</f>
        <v>0</v>
      </c>
      <c r="G69" s="215">
        <f t="shared" ref="G69:G84" si="9">G11*$G$64</f>
        <v>0</v>
      </c>
      <c r="H69" s="215">
        <f t="shared" ref="H69:H84" si="10">H11*$H$64</f>
        <v>0</v>
      </c>
      <c r="I69" s="215">
        <f t="shared" ref="I69:I84" si="11">I11*$I$64</f>
        <v>0</v>
      </c>
      <c r="J69" s="215">
        <f t="shared" ref="J69:J84" si="12">J11*$J$64</f>
        <v>0</v>
      </c>
    </row>
    <row r="70" spans="1:11">
      <c r="A70" s="412" t="str">
        <f t="shared" si="6"/>
        <v xml:space="preserve">Bengal Gran (Grade B and Broken) </v>
      </c>
      <c r="B70" s="436"/>
      <c r="C70" s="415"/>
      <c r="D70" s="377">
        <f>D12*$D$64</f>
        <v>567.61109999999996</v>
      </c>
      <c r="E70" s="215">
        <f t="shared" si="7"/>
        <v>561.93498899999997</v>
      </c>
      <c r="F70" s="215">
        <f t="shared" si="8"/>
        <v>613.01998800000001</v>
      </c>
      <c r="G70" s="215">
        <f t="shared" si="9"/>
        <v>664.10498700000016</v>
      </c>
      <c r="H70" s="215">
        <f t="shared" si="10"/>
        <v>715.1899860000002</v>
      </c>
      <c r="I70" s="215">
        <f t="shared" si="11"/>
        <v>766.27498500000013</v>
      </c>
      <c r="J70" s="215">
        <f t="shared" si="12"/>
        <v>817.35998400000005</v>
      </c>
    </row>
    <row r="71" spans="1:11" hidden="1">
      <c r="A71" s="412" t="str">
        <f t="shared" si="6"/>
        <v>Paddy/Rice</v>
      </c>
      <c r="B71" s="436"/>
      <c r="C71" s="415"/>
      <c r="D71" s="215">
        <f t="shared" ref="D71:D90" si="13">D13*$D$64</f>
        <v>0</v>
      </c>
      <c r="E71" s="215">
        <f t="shared" si="7"/>
        <v>0</v>
      </c>
      <c r="F71" s="215">
        <f t="shared" si="8"/>
        <v>0</v>
      </c>
      <c r="G71" s="215">
        <f t="shared" si="9"/>
        <v>0</v>
      </c>
      <c r="H71" s="215">
        <f t="shared" si="10"/>
        <v>0</v>
      </c>
      <c r="I71" s="215">
        <f t="shared" si="11"/>
        <v>0</v>
      </c>
      <c r="J71" s="215">
        <f t="shared" si="12"/>
        <v>0</v>
      </c>
    </row>
    <row r="72" spans="1:11" hidden="1">
      <c r="A72" s="412" t="str">
        <f t="shared" si="6"/>
        <v>Green Gram/ Moong</v>
      </c>
      <c r="B72" s="436"/>
      <c r="C72" s="415"/>
      <c r="D72" s="215">
        <f t="shared" si="13"/>
        <v>0</v>
      </c>
      <c r="E72" s="215">
        <f t="shared" si="7"/>
        <v>0</v>
      </c>
      <c r="F72" s="215">
        <f t="shared" si="8"/>
        <v>0</v>
      </c>
      <c r="G72" s="215">
        <f t="shared" si="9"/>
        <v>0</v>
      </c>
      <c r="H72" s="215">
        <f t="shared" si="10"/>
        <v>0</v>
      </c>
      <c r="I72" s="215">
        <f t="shared" si="11"/>
        <v>0</v>
      </c>
      <c r="J72" s="215">
        <f t="shared" si="12"/>
        <v>0</v>
      </c>
    </row>
    <row r="73" spans="1:11" hidden="1">
      <c r="A73" s="412" t="str">
        <f t="shared" si="6"/>
        <v>Maize</v>
      </c>
      <c r="B73" s="436"/>
      <c r="C73" s="415"/>
      <c r="D73" s="215">
        <f t="shared" si="13"/>
        <v>0</v>
      </c>
      <c r="E73" s="215">
        <f t="shared" si="7"/>
        <v>0</v>
      </c>
      <c r="F73" s="215">
        <f t="shared" si="8"/>
        <v>0</v>
      </c>
      <c r="G73" s="215">
        <f t="shared" si="9"/>
        <v>0</v>
      </c>
      <c r="H73" s="215">
        <f t="shared" si="10"/>
        <v>0</v>
      </c>
      <c r="I73" s="215">
        <f t="shared" si="11"/>
        <v>0</v>
      </c>
      <c r="J73" s="215">
        <f t="shared" si="12"/>
        <v>0</v>
      </c>
    </row>
    <row r="74" spans="1:11" hidden="1">
      <c r="A74" s="412" t="str">
        <f t="shared" si="6"/>
        <v>Black Gram/Udid</v>
      </c>
      <c r="B74" s="436"/>
      <c r="C74" s="415"/>
      <c r="D74" s="215">
        <f t="shared" si="13"/>
        <v>0</v>
      </c>
      <c r="E74" s="215">
        <f t="shared" si="7"/>
        <v>0</v>
      </c>
      <c r="F74" s="215">
        <f t="shared" si="8"/>
        <v>0</v>
      </c>
      <c r="G74" s="215">
        <f t="shared" si="9"/>
        <v>0</v>
      </c>
      <c r="H74" s="215">
        <f t="shared" si="10"/>
        <v>0</v>
      </c>
      <c r="I74" s="215">
        <f t="shared" si="11"/>
        <v>0</v>
      </c>
      <c r="J74" s="215">
        <f t="shared" si="12"/>
        <v>0</v>
      </c>
    </row>
    <row r="75" spans="1:11" hidden="1">
      <c r="A75" s="412" t="str">
        <f t="shared" si="6"/>
        <v>Bajra</v>
      </c>
      <c r="B75" s="436"/>
      <c r="C75" s="415"/>
      <c r="D75" s="215">
        <f t="shared" si="13"/>
        <v>0</v>
      </c>
      <c r="E75" s="215">
        <f t="shared" si="7"/>
        <v>0</v>
      </c>
      <c r="F75" s="215">
        <f t="shared" si="8"/>
        <v>0</v>
      </c>
      <c r="G75" s="215">
        <f t="shared" si="9"/>
        <v>0</v>
      </c>
      <c r="H75" s="215">
        <f t="shared" si="10"/>
        <v>0</v>
      </c>
      <c r="I75" s="215">
        <f t="shared" si="11"/>
        <v>0</v>
      </c>
      <c r="J75" s="215">
        <f t="shared" si="12"/>
        <v>0</v>
      </c>
    </row>
    <row r="76" spans="1:11" hidden="1">
      <c r="A76" s="412" t="str">
        <f t="shared" si="6"/>
        <v>Jawar</v>
      </c>
      <c r="B76" s="436"/>
      <c r="C76" s="415"/>
      <c r="D76" s="215">
        <f t="shared" si="13"/>
        <v>0</v>
      </c>
      <c r="E76" s="215">
        <f t="shared" si="7"/>
        <v>0</v>
      </c>
      <c r="F76" s="215">
        <f t="shared" si="8"/>
        <v>0</v>
      </c>
      <c r="G76" s="215">
        <f t="shared" si="9"/>
        <v>0</v>
      </c>
      <c r="H76" s="215">
        <f t="shared" si="10"/>
        <v>0</v>
      </c>
      <c r="I76" s="215">
        <f t="shared" si="11"/>
        <v>0</v>
      </c>
      <c r="J76" s="215">
        <f t="shared" si="12"/>
        <v>0</v>
      </c>
    </row>
    <row r="77" spans="1:11" hidden="1">
      <c r="A77" s="412" t="str">
        <f t="shared" si="6"/>
        <v>Sunflower</v>
      </c>
      <c r="B77" s="436"/>
      <c r="C77" s="415"/>
      <c r="D77" s="215">
        <f t="shared" si="13"/>
        <v>0</v>
      </c>
      <c r="E77" s="215">
        <f t="shared" si="7"/>
        <v>0</v>
      </c>
      <c r="F77" s="215">
        <f t="shared" si="8"/>
        <v>0</v>
      </c>
      <c r="G77" s="215">
        <f t="shared" si="9"/>
        <v>0</v>
      </c>
      <c r="H77" s="215">
        <f t="shared" si="10"/>
        <v>0</v>
      </c>
      <c r="I77" s="215">
        <f t="shared" si="11"/>
        <v>0</v>
      </c>
      <c r="J77" s="215">
        <f t="shared" si="12"/>
        <v>0</v>
      </c>
    </row>
    <row r="78" spans="1:11" hidden="1">
      <c r="A78" s="412" t="str">
        <f t="shared" si="6"/>
        <v>Wheat</v>
      </c>
      <c r="B78" s="436"/>
      <c r="C78" s="415"/>
      <c r="D78" s="215">
        <f t="shared" si="13"/>
        <v>0</v>
      </c>
      <c r="E78" s="215">
        <f t="shared" si="7"/>
        <v>0</v>
      </c>
      <c r="F78" s="215">
        <f t="shared" si="8"/>
        <v>0</v>
      </c>
      <c r="G78" s="215">
        <f t="shared" si="9"/>
        <v>0</v>
      </c>
      <c r="H78" s="215">
        <f t="shared" si="10"/>
        <v>0</v>
      </c>
      <c r="I78" s="215">
        <f t="shared" si="11"/>
        <v>0</v>
      </c>
      <c r="J78" s="215">
        <f t="shared" si="12"/>
        <v>0</v>
      </c>
    </row>
    <row r="79" spans="1:11" hidden="1">
      <c r="A79" s="412" t="str">
        <f t="shared" si="6"/>
        <v>Bengal Gram/Channa</v>
      </c>
      <c r="B79" s="436"/>
      <c r="C79" s="415"/>
      <c r="D79" s="215">
        <f t="shared" si="13"/>
        <v>0</v>
      </c>
      <c r="E79" s="215">
        <f t="shared" si="7"/>
        <v>0</v>
      </c>
      <c r="F79" s="215">
        <f t="shared" si="8"/>
        <v>0</v>
      </c>
      <c r="G79" s="215">
        <f t="shared" si="9"/>
        <v>0</v>
      </c>
      <c r="H79" s="215">
        <f t="shared" si="10"/>
        <v>0</v>
      </c>
      <c r="I79" s="215">
        <f t="shared" si="11"/>
        <v>0</v>
      </c>
      <c r="J79" s="215">
        <f t="shared" si="12"/>
        <v>0</v>
      </c>
    </row>
    <row r="80" spans="1:11" hidden="1">
      <c r="A80" s="412" t="str">
        <f t="shared" si="6"/>
        <v>Jawar</v>
      </c>
      <c r="B80" s="436"/>
      <c r="C80" s="415"/>
      <c r="D80" s="215">
        <f t="shared" si="13"/>
        <v>0</v>
      </c>
      <c r="E80" s="215">
        <f t="shared" si="7"/>
        <v>0</v>
      </c>
      <c r="F80" s="215">
        <f t="shared" si="8"/>
        <v>0</v>
      </c>
      <c r="G80" s="215">
        <f t="shared" si="9"/>
        <v>0</v>
      </c>
      <c r="H80" s="215">
        <f t="shared" si="10"/>
        <v>0</v>
      </c>
      <c r="I80" s="215">
        <f t="shared" si="11"/>
        <v>0</v>
      </c>
      <c r="J80" s="215">
        <f t="shared" si="12"/>
        <v>0</v>
      </c>
    </row>
    <row r="81" spans="1:21" hidden="1">
      <c r="A81" s="412" t="str">
        <f t="shared" si="6"/>
        <v>Maize</v>
      </c>
      <c r="B81" s="436"/>
      <c r="C81" s="415"/>
      <c r="D81" s="215">
        <f t="shared" si="13"/>
        <v>0</v>
      </c>
      <c r="E81" s="215">
        <f t="shared" si="7"/>
        <v>0</v>
      </c>
      <c r="F81" s="215">
        <f t="shared" si="8"/>
        <v>0</v>
      </c>
      <c r="G81" s="215">
        <f t="shared" si="9"/>
        <v>0</v>
      </c>
      <c r="H81" s="215">
        <f t="shared" si="10"/>
        <v>0</v>
      </c>
      <c r="I81" s="215">
        <f t="shared" si="11"/>
        <v>0</v>
      </c>
      <c r="J81" s="215">
        <f t="shared" si="12"/>
        <v>0</v>
      </c>
    </row>
    <row r="82" spans="1:21" hidden="1">
      <c r="A82" s="412" t="str">
        <f t="shared" si="6"/>
        <v>Safflower</v>
      </c>
      <c r="B82" s="436"/>
      <c r="C82" s="415"/>
      <c r="D82" s="215">
        <f t="shared" si="13"/>
        <v>0</v>
      </c>
      <c r="E82" s="215">
        <f t="shared" si="7"/>
        <v>0</v>
      </c>
      <c r="F82" s="215">
        <f t="shared" si="8"/>
        <v>0</v>
      </c>
      <c r="G82" s="215">
        <f t="shared" si="9"/>
        <v>0</v>
      </c>
      <c r="H82" s="215">
        <f t="shared" si="10"/>
        <v>0</v>
      </c>
      <c r="I82" s="215">
        <f t="shared" si="11"/>
        <v>0</v>
      </c>
      <c r="J82" s="215">
        <f t="shared" si="12"/>
        <v>0</v>
      </c>
    </row>
    <row r="83" spans="1:21" hidden="1">
      <c r="A83" s="412">
        <f t="shared" si="6"/>
        <v>0</v>
      </c>
      <c r="B83" s="436"/>
      <c r="C83" s="415"/>
      <c r="D83" s="215">
        <f t="shared" si="13"/>
        <v>0</v>
      </c>
      <c r="E83" s="215">
        <f t="shared" si="7"/>
        <v>0</v>
      </c>
      <c r="F83" s="215">
        <f t="shared" si="8"/>
        <v>0</v>
      </c>
      <c r="G83" s="215">
        <f t="shared" si="9"/>
        <v>0</v>
      </c>
      <c r="H83" s="215">
        <f t="shared" si="10"/>
        <v>0</v>
      </c>
      <c r="I83" s="215">
        <f t="shared" si="11"/>
        <v>0</v>
      </c>
      <c r="J83" s="215">
        <f t="shared" si="12"/>
        <v>0</v>
      </c>
    </row>
    <row r="84" spans="1:21" hidden="1">
      <c r="A84" s="412">
        <f t="shared" si="6"/>
        <v>0</v>
      </c>
      <c r="B84" s="436"/>
      <c r="C84" s="415"/>
      <c r="D84" s="215">
        <f t="shared" si="13"/>
        <v>0</v>
      </c>
      <c r="E84" s="215">
        <f t="shared" si="7"/>
        <v>0</v>
      </c>
      <c r="F84" s="215">
        <f t="shared" si="8"/>
        <v>0</v>
      </c>
      <c r="G84" s="215">
        <f t="shared" si="9"/>
        <v>0</v>
      </c>
      <c r="H84" s="215">
        <f t="shared" si="10"/>
        <v>0</v>
      </c>
      <c r="I84" s="215">
        <f t="shared" si="11"/>
        <v>0</v>
      </c>
      <c r="J84" s="215">
        <f t="shared" si="12"/>
        <v>0</v>
      </c>
    </row>
    <row r="85" spans="1:21" hidden="1">
      <c r="A85" s="412">
        <f t="shared" si="6"/>
        <v>0</v>
      </c>
      <c r="B85" s="436"/>
      <c r="C85" s="415"/>
      <c r="D85" s="215">
        <f t="shared" si="13"/>
        <v>0</v>
      </c>
      <c r="E85" s="215">
        <f t="shared" ref="E85:J90" si="14">E27*$D$64</f>
        <v>0</v>
      </c>
      <c r="F85" s="215">
        <f t="shared" si="14"/>
        <v>0</v>
      </c>
      <c r="G85" s="215">
        <f t="shared" si="14"/>
        <v>0</v>
      </c>
      <c r="H85" s="215">
        <f t="shared" si="14"/>
        <v>0</v>
      </c>
      <c r="I85" s="215">
        <f t="shared" si="14"/>
        <v>0</v>
      </c>
      <c r="J85" s="215">
        <f t="shared" si="14"/>
        <v>0</v>
      </c>
    </row>
    <row r="86" spans="1:21" hidden="1">
      <c r="A86" s="412" t="str">
        <f t="shared" si="6"/>
        <v>Groundnut</v>
      </c>
      <c r="B86" s="436"/>
      <c r="C86" s="415"/>
      <c r="D86" s="215">
        <f t="shared" si="13"/>
        <v>0</v>
      </c>
      <c r="E86" s="215">
        <f t="shared" si="14"/>
        <v>0</v>
      </c>
      <c r="F86" s="215">
        <f t="shared" si="14"/>
        <v>0</v>
      </c>
      <c r="G86" s="215">
        <f t="shared" si="14"/>
        <v>0</v>
      </c>
      <c r="H86" s="215">
        <f t="shared" si="14"/>
        <v>0</v>
      </c>
      <c r="I86" s="215">
        <f t="shared" si="14"/>
        <v>0</v>
      </c>
      <c r="J86" s="215">
        <f t="shared" si="14"/>
        <v>0</v>
      </c>
    </row>
    <row r="87" spans="1:21" hidden="1">
      <c r="A87" s="412">
        <f t="shared" si="6"/>
        <v>0</v>
      </c>
      <c r="B87" s="436"/>
      <c r="C87" s="415"/>
      <c r="D87" s="215">
        <f t="shared" si="13"/>
        <v>0</v>
      </c>
      <c r="E87" s="215">
        <f t="shared" si="14"/>
        <v>0</v>
      </c>
      <c r="F87" s="215">
        <f t="shared" si="14"/>
        <v>0</v>
      </c>
      <c r="G87" s="215">
        <f t="shared" si="14"/>
        <v>0</v>
      </c>
      <c r="H87" s="215">
        <f t="shared" si="14"/>
        <v>0</v>
      </c>
      <c r="I87" s="215">
        <f t="shared" si="14"/>
        <v>0</v>
      </c>
      <c r="J87" s="215">
        <f t="shared" si="14"/>
        <v>0</v>
      </c>
    </row>
    <row r="88" spans="1:21" hidden="1">
      <c r="A88" s="412">
        <f t="shared" si="6"/>
        <v>0</v>
      </c>
      <c r="B88" s="436"/>
      <c r="C88" s="415"/>
      <c r="D88" s="215">
        <f t="shared" si="13"/>
        <v>0</v>
      </c>
      <c r="E88" s="215">
        <f t="shared" si="14"/>
        <v>0</v>
      </c>
      <c r="F88" s="215">
        <f t="shared" si="14"/>
        <v>0</v>
      </c>
      <c r="G88" s="215">
        <f t="shared" si="14"/>
        <v>0</v>
      </c>
      <c r="H88" s="215">
        <f t="shared" si="14"/>
        <v>0</v>
      </c>
      <c r="I88" s="215">
        <f t="shared" si="14"/>
        <v>0</v>
      </c>
      <c r="J88" s="215">
        <f t="shared" si="14"/>
        <v>0</v>
      </c>
    </row>
    <row r="89" spans="1:21" hidden="1">
      <c r="A89" s="412">
        <f t="shared" si="6"/>
        <v>0</v>
      </c>
      <c r="B89" s="436"/>
      <c r="C89" s="415"/>
      <c r="D89" s="215">
        <f t="shared" si="13"/>
        <v>0</v>
      </c>
      <c r="E89" s="215">
        <f t="shared" si="14"/>
        <v>0</v>
      </c>
      <c r="F89" s="215">
        <f t="shared" si="14"/>
        <v>0</v>
      </c>
      <c r="G89" s="215">
        <f t="shared" si="14"/>
        <v>0</v>
      </c>
      <c r="H89" s="215">
        <f t="shared" si="14"/>
        <v>0</v>
      </c>
      <c r="I89" s="215">
        <f t="shared" si="14"/>
        <v>0</v>
      </c>
      <c r="J89" s="215">
        <f t="shared" si="14"/>
        <v>0</v>
      </c>
    </row>
    <row r="90" spans="1:21" hidden="1">
      <c r="A90" s="412">
        <f t="shared" si="6"/>
        <v>0</v>
      </c>
      <c r="B90" s="436"/>
      <c r="C90" s="415"/>
      <c r="D90" s="215">
        <f t="shared" si="13"/>
        <v>0</v>
      </c>
      <c r="E90" s="215">
        <f t="shared" si="14"/>
        <v>0</v>
      </c>
      <c r="F90" s="215">
        <f t="shared" si="14"/>
        <v>0</v>
      </c>
      <c r="G90" s="215">
        <f t="shared" si="14"/>
        <v>0</v>
      </c>
      <c r="H90" s="215">
        <f t="shared" si="14"/>
        <v>0</v>
      </c>
      <c r="I90" s="215">
        <f t="shared" si="14"/>
        <v>0</v>
      </c>
      <c r="J90" s="215">
        <f t="shared" si="14"/>
        <v>0</v>
      </c>
    </row>
    <row r="91" spans="1:21" hidden="1">
      <c r="A91" s="412"/>
      <c r="B91" s="436"/>
      <c r="C91" s="415"/>
      <c r="D91" s="215"/>
      <c r="E91" s="215"/>
      <c r="F91" s="215"/>
      <c r="G91" s="215"/>
      <c r="H91" s="215"/>
      <c r="I91" s="215"/>
      <c r="J91" s="215"/>
      <c r="S91" s="12"/>
      <c r="T91" s="12"/>
      <c r="U91" s="12"/>
    </row>
    <row r="92" spans="1:21" hidden="1">
      <c r="A92" s="412" t="str">
        <f t="shared" ref="A92:A117" si="15">A34</f>
        <v>Fruit  &amp; Vegetables Crop Production Details</v>
      </c>
      <c r="B92" s="436"/>
      <c r="C92" s="415"/>
      <c r="D92" s="215"/>
      <c r="E92" s="215"/>
      <c r="F92" s="215"/>
      <c r="G92" s="215"/>
      <c r="H92" s="215"/>
      <c r="I92" s="215"/>
      <c r="J92" s="215"/>
      <c r="S92" s="12"/>
      <c r="T92" s="12"/>
      <c r="U92" s="12"/>
    </row>
    <row r="93" spans="1:21" hidden="1">
      <c r="A93" s="412" t="str">
        <f t="shared" si="15"/>
        <v>Exotic Vegitables</v>
      </c>
      <c r="B93" s="436"/>
      <c r="C93" s="415"/>
      <c r="D93" s="215">
        <f t="shared" ref="D93:J102" si="16">D35</f>
        <v>0</v>
      </c>
      <c r="E93" s="215">
        <f t="shared" si="16"/>
        <v>0</v>
      </c>
      <c r="F93" s="215">
        <f t="shared" si="16"/>
        <v>0</v>
      </c>
      <c r="G93" s="215">
        <f t="shared" si="16"/>
        <v>0</v>
      </c>
      <c r="H93" s="215">
        <f t="shared" si="16"/>
        <v>0</v>
      </c>
      <c r="I93" s="215">
        <f t="shared" si="16"/>
        <v>0</v>
      </c>
      <c r="J93" s="215">
        <f t="shared" si="16"/>
        <v>0</v>
      </c>
      <c r="S93" s="12"/>
      <c r="T93" s="12"/>
      <c r="U93" s="12"/>
    </row>
    <row r="94" spans="1:21" hidden="1">
      <c r="A94" s="412" t="str">
        <f t="shared" si="15"/>
        <v>Tomato</v>
      </c>
      <c r="B94" s="436"/>
      <c r="C94" s="415"/>
      <c r="D94" s="215">
        <f t="shared" si="16"/>
        <v>0</v>
      </c>
      <c r="E94" s="215">
        <f t="shared" si="16"/>
        <v>0</v>
      </c>
      <c r="F94" s="215">
        <f t="shared" si="16"/>
        <v>0</v>
      </c>
      <c r="G94" s="215">
        <f t="shared" si="16"/>
        <v>0</v>
      </c>
      <c r="H94" s="215">
        <f t="shared" si="16"/>
        <v>0</v>
      </c>
      <c r="I94" s="215">
        <f t="shared" si="16"/>
        <v>0</v>
      </c>
      <c r="J94" s="215">
        <f t="shared" si="16"/>
        <v>0</v>
      </c>
      <c r="S94" s="12"/>
      <c r="T94" s="12"/>
      <c r="U94" s="12"/>
    </row>
    <row r="95" spans="1:21" hidden="1">
      <c r="A95" s="412" t="str">
        <f t="shared" si="15"/>
        <v>Okra</v>
      </c>
      <c r="B95" s="436"/>
      <c r="C95" s="415"/>
      <c r="D95" s="215">
        <f t="shared" si="16"/>
        <v>0</v>
      </c>
      <c r="E95" s="215">
        <f t="shared" si="16"/>
        <v>0</v>
      </c>
      <c r="F95" s="215">
        <f t="shared" si="16"/>
        <v>0</v>
      </c>
      <c r="G95" s="215">
        <f t="shared" si="16"/>
        <v>0</v>
      </c>
      <c r="H95" s="215">
        <f t="shared" si="16"/>
        <v>0</v>
      </c>
      <c r="I95" s="215">
        <f t="shared" si="16"/>
        <v>0</v>
      </c>
      <c r="J95" s="215">
        <f t="shared" si="16"/>
        <v>0</v>
      </c>
      <c r="S95" s="12"/>
      <c r="T95" s="12"/>
      <c r="U95" s="12"/>
    </row>
    <row r="96" spans="1:21" hidden="1">
      <c r="A96" s="412" t="str">
        <f t="shared" si="15"/>
        <v>Chilli</v>
      </c>
      <c r="B96" s="436"/>
      <c r="C96" s="415"/>
      <c r="D96" s="215">
        <f t="shared" si="16"/>
        <v>0</v>
      </c>
      <c r="E96" s="215">
        <f t="shared" si="16"/>
        <v>0</v>
      </c>
      <c r="F96" s="215">
        <f t="shared" si="16"/>
        <v>0</v>
      </c>
      <c r="G96" s="215">
        <f t="shared" si="16"/>
        <v>0</v>
      </c>
      <c r="H96" s="215">
        <f t="shared" si="16"/>
        <v>0</v>
      </c>
      <c r="I96" s="215">
        <f t="shared" si="16"/>
        <v>0</v>
      </c>
      <c r="J96" s="215">
        <f t="shared" si="16"/>
        <v>0</v>
      </c>
      <c r="S96" s="12"/>
      <c r="T96" s="12"/>
      <c r="U96" s="12"/>
    </row>
    <row r="97" spans="1:21" hidden="1">
      <c r="A97" s="412" t="str">
        <f t="shared" si="15"/>
        <v>Potato</v>
      </c>
      <c r="B97" s="436"/>
      <c r="C97" s="415"/>
      <c r="D97" s="215">
        <f t="shared" si="16"/>
        <v>0</v>
      </c>
      <c r="E97" s="215">
        <f t="shared" si="16"/>
        <v>0</v>
      </c>
      <c r="F97" s="215">
        <f t="shared" si="16"/>
        <v>0</v>
      </c>
      <c r="G97" s="215">
        <f t="shared" si="16"/>
        <v>0</v>
      </c>
      <c r="H97" s="215">
        <f t="shared" si="16"/>
        <v>0</v>
      </c>
      <c r="I97" s="215">
        <f t="shared" si="16"/>
        <v>0</v>
      </c>
      <c r="J97" s="215">
        <f t="shared" si="16"/>
        <v>0</v>
      </c>
      <c r="S97" s="12"/>
      <c r="T97" s="12"/>
      <c r="U97" s="12"/>
    </row>
    <row r="98" spans="1:21" hidden="1">
      <c r="A98" s="412" t="str">
        <f t="shared" si="15"/>
        <v>Cabbage</v>
      </c>
      <c r="B98" s="436"/>
      <c r="C98" s="415"/>
      <c r="D98" s="215">
        <f t="shared" si="16"/>
        <v>0</v>
      </c>
      <c r="E98" s="215">
        <f t="shared" si="16"/>
        <v>0</v>
      </c>
      <c r="F98" s="215">
        <f t="shared" si="16"/>
        <v>0</v>
      </c>
      <c r="G98" s="215">
        <f t="shared" si="16"/>
        <v>0</v>
      </c>
      <c r="H98" s="215">
        <f t="shared" si="16"/>
        <v>0</v>
      </c>
      <c r="I98" s="215">
        <f t="shared" si="16"/>
        <v>0</v>
      </c>
      <c r="J98" s="215">
        <f t="shared" si="16"/>
        <v>0</v>
      </c>
      <c r="S98" s="12"/>
      <c r="T98" s="12"/>
      <c r="U98" s="12"/>
    </row>
    <row r="99" spans="1:21" hidden="1">
      <c r="A99" s="412" t="str">
        <f t="shared" si="15"/>
        <v>Coliflower</v>
      </c>
      <c r="B99" s="436"/>
      <c r="C99" s="415"/>
      <c r="D99" s="215">
        <f t="shared" si="16"/>
        <v>0</v>
      </c>
      <c r="E99" s="215">
        <f t="shared" si="16"/>
        <v>0</v>
      </c>
      <c r="F99" s="215">
        <f t="shared" si="16"/>
        <v>0</v>
      </c>
      <c r="G99" s="215">
        <f t="shared" si="16"/>
        <v>0</v>
      </c>
      <c r="H99" s="215">
        <f t="shared" si="16"/>
        <v>0</v>
      </c>
      <c r="I99" s="215">
        <f t="shared" si="16"/>
        <v>0</v>
      </c>
      <c r="J99" s="215">
        <f t="shared" si="16"/>
        <v>0</v>
      </c>
      <c r="S99" s="12"/>
      <c r="T99" s="12"/>
      <c r="U99" s="12"/>
    </row>
    <row r="100" spans="1:21" hidden="1">
      <c r="A100" s="412" t="str">
        <f t="shared" si="15"/>
        <v>Bitter Gurd</v>
      </c>
      <c r="B100" s="436"/>
      <c r="C100" s="415"/>
      <c r="D100" s="215">
        <f t="shared" si="16"/>
        <v>0</v>
      </c>
      <c r="E100" s="215">
        <f t="shared" si="16"/>
        <v>0</v>
      </c>
      <c r="F100" s="215">
        <f t="shared" si="16"/>
        <v>0</v>
      </c>
      <c r="G100" s="215">
        <f t="shared" si="16"/>
        <v>0</v>
      </c>
      <c r="H100" s="215">
        <f t="shared" si="16"/>
        <v>0</v>
      </c>
      <c r="I100" s="215">
        <f t="shared" si="16"/>
        <v>0</v>
      </c>
      <c r="J100" s="215">
        <f t="shared" si="16"/>
        <v>0</v>
      </c>
      <c r="S100" s="12"/>
      <c r="T100" s="12"/>
      <c r="U100" s="12"/>
    </row>
    <row r="101" spans="1:21" hidden="1">
      <c r="A101" s="412">
        <f t="shared" si="15"/>
        <v>0</v>
      </c>
      <c r="B101" s="436"/>
      <c r="C101" s="415"/>
      <c r="D101" s="215">
        <f t="shared" si="16"/>
        <v>0</v>
      </c>
      <c r="E101" s="215">
        <f t="shared" si="16"/>
        <v>0</v>
      </c>
      <c r="F101" s="215">
        <f t="shared" si="16"/>
        <v>0</v>
      </c>
      <c r="G101" s="215">
        <f t="shared" si="16"/>
        <v>0</v>
      </c>
      <c r="H101" s="215">
        <f t="shared" si="16"/>
        <v>0</v>
      </c>
      <c r="I101" s="215">
        <f t="shared" si="16"/>
        <v>0</v>
      </c>
      <c r="J101" s="215">
        <f t="shared" si="16"/>
        <v>0</v>
      </c>
      <c r="S101" s="12"/>
      <c r="T101" s="12"/>
      <c r="U101" s="12"/>
    </row>
    <row r="102" spans="1:21" hidden="1">
      <c r="A102" s="412" t="str">
        <f t="shared" si="15"/>
        <v>Exotic Vegitables</v>
      </c>
      <c r="B102" s="436"/>
      <c r="C102" s="415"/>
      <c r="D102" s="215">
        <f t="shared" si="16"/>
        <v>0</v>
      </c>
      <c r="E102" s="215">
        <f t="shared" si="16"/>
        <v>0</v>
      </c>
      <c r="F102" s="215">
        <f t="shared" si="16"/>
        <v>0</v>
      </c>
      <c r="G102" s="215">
        <f t="shared" si="16"/>
        <v>0</v>
      </c>
      <c r="H102" s="215">
        <f t="shared" si="16"/>
        <v>0</v>
      </c>
      <c r="I102" s="215">
        <f t="shared" si="16"/>
        <v>0</v>
      </c>
      <c r="J102" s="215">
        <f t="shared" si="16"/>
        <v>0</v>
      </c>
      <c r="S102" s="12"/>
      <c r="T102" s="12"/>
      <c r="U102" s="12"/>
    </row>
    <row r="103" spans="1:21" hidden="1">
      <c r="A103" s="412" t="str">
        <f t="shared" si="15"/>
        <v>Tomato</v>
      </c>
      <c r="B103" s="436"/>
      <c r="C103" s="415"/>
      <c r="D103" s="215">
        <f t="shared" ref="D103:J110" si="17">D45</f>
        <v>0</v>
      </c>
      <c r="E103" s="215">
        <f t="shared" si="17"/>
        <v>0</v>
      </c>
      <c r="F103" s="215">
        <f t="shared" si="17"/>
        <v>0</v>
      </c>
      <c r="G103" s="215">
        <f t="shared" si="17"/>
        <v>0</v>
      </c>
      <c r="H103" s="215">
        <f t="shared" si="17"/>
        <v>0</v>
      </c>
      <c r="I103" s="215">
        <f t="shared" si="17"/>
        <v>0</v>
      </c>
      <c r="J103" s="215">
        <f t="shared" si="17"/>
        <v>0</v>
      </c>
      <c r="S103" s="12"/>
      <c r="T103" s="12"/>
      <c r="U103" s="12"/>
    </row>
    <row r="104" spans="1:21" hidden="1">
      <c r="A104" s="412" t="str">
        <f t="shared" si="15"/>
        <v>Okra</v>
      </c>
      <c r="B104" s="436"/>
      <c r="C104" s="415"/>
      <c r="D104" s="215">
        <f t="shared" si="17"/>
        <v>0</v>
      </c>
      <c r="E104" s="215">
        <f t="shared" si="17"/>
        <v>0</v>
      </c>
      <c r="F104" s="215">
        <f t="shared" si="17"/>
        <v>0</v>
      </c>
      <c r="G104" s="215">
        <f t="shared" si="17"/>
        <v>0</v>
      </c>
      <c r="H104" s="215">
        <f t="shared" si="17"/>
        <v>0</v>
      </c>
      <c r="I104" s="215">
        <f t="shared" si="17"/>
        <v>0</v>
      </c>
      <c r="J104" s="215">
        <f t="shared" si="17"/>
        <v>0</v>
      </c>
      <c r="S104" s="12"/>
      <c r="T104" s="12"/>
      <c r="U104" s="12"/>
    </row>
    <row r="105" spans="1:21" hidden="1">
      <c r="A105" s="412" t="str">
        <f t="shared" si="15"/>
        <v>Chilli</v>
      </c>
      <c r="B105" s="436"/>
      <c r="C105" s="415"/>
      <c r="D105" s="215">
        <f t="shared" si="17"/>
        <v>0</v>
      </c>
      <c r="E105" s="215">
        <f t="shared" si="17"/>
        <v>0</v>
      </c>
      <c r="F105" s="215">
        <f t="shared" si="17"/>
        <v>0</v>
      </c>
      <c r="G105" s="215">
        <f t="shared" si="17"/>
        <v>0</v>
      </c>
      <c r="H105" s="215">
        <f t="shared" si="17"/>
        <v>0</v>
      </c>
      <c r="I105" s="215">
        <f t="shared" si="17"/>
        <v>0</v>
      </c>
      <c r="J105" s="215">
        <f t="shared" si="17"/>
        <v>0</v>
      </c>
      <c r="S105" s="12"/>
      <c r="T105" s="12"/>
      <c r="U105" s="12"/>
    </row>
    <row r="106" spans="1:21" hidden="1">
      <c r="A106" s="412" t="str">
        <f t="shared" si="15"/>
        <v>Brinjal</v>
      </c>
      <c r="B106" s="436"/>
      <c r="C106" s="415"/>
      <c r="D106" s="215">
        <f t="shared" si="17"/>
        <v>0</v>
      </c>
      <c r="E106" s="215">
        <f t="shared" si="17"/>
        <v>0</v>
      </c>
      <c r="F106" s="215">
        <f t="shared" si="17"/>
        <v>0</v>
      </c>
      <c r="G106" s="215">
        <f t="shared" si="17"/>
        <v>0</v>
      </c>
      <c r="H106" s="215">
        <f t="shared" si="17"/>
        <v>0</v>
      </c>
      <c r="I106" s="215">
        <f t="shared" si="17"/>
        <v>0</v>
      </c>
      <c r="J106" s="215">
        <f t="shared" si="17"/>
        <v>0</v>
      </c>
      <c r="S106" s="12"/>
      <c r="T106" s="12"/>
      <c r="U106" s="12"/>
    </row>
    <row r="107" spans="1:21" hidden="1">
      <c r="A107" s="412" t="str">
        <f t="shared" si="15"/>
        <v>Ginger</v>
      </c>
      <c r="B107" s="436"/>
      <c r="C107" s="415"/>
      <c r="D107" s="215">
        <f t="shared" si="17"/>
        <v>0</v>
      </c>
      <c r="E107" s="215">
        <f t="shared" si="17"/>
        <v>0</v>
      </c>
      <c r="F107" s="215">
        <f t="shared" si="17"/>
        <v>0</v>
      </c>
      <c r="G107" s="215">
        <f t="shared" si="17"/>
        <v>0</v>
      </c>
      <c r="H107" s="215">
        <f t="shared" si="17"/>
        <v>0</v>
      </c>
      <c r="I107" s="215">
        <f t="shared" si="17"/>
        <v>0</v>
      </c>
      <c r="J107" s="215">
        <f t="shared" si="17"/>
        <v>0</v>
      </c>
      <c r="S107" s="12"/>
      <c r="T107" s="12"/>
      <c r="U107" s="12"/>
    </row>
    <row r="108" spans="1:21" hidden="1">
      <c r="A108" s="412">
        <f t="shared" si="15"/>
        <v>0</v>
      </c>
      <c r="B108" s="436"/>
      <c r="C108" s="415"/>
      <c r="D108" s="215">
        <f t="shared" si="17"/>
        <v>0</v>
      </c>
      <c r="E108" s="215">
        <f t="shared" si="17"/>
        <v>0</v>
      </c>
      <c r="F108" s="215">
        <f t="shared" si="17"/>
        <v>0</v>
      </c>
      <c r="G108" s="215">
        <f t="shared" si="17"/>
        <v>0</v>
      </c>
      <c r="H108" s="215">
        <f t="shared" si="17"/>
        <v>0</v>
      </c>
      <c r="I108" s="215">
        <f t="shared" si="17"/>
        <v>0</v>
      </c>
      <c r="J108" s="215">
        <f t="shared" si="17"/>
        <v>0</v>
      </c>
      <c r="S108" s="12"/>
      <c r="T108" s="12"/>
      <c r="U108" s="12"/>
    </row>
    <row r="109" spans="1:21" hidden="1">
      <c r="A109" s="412">
        <f t="shared" si="15"/>
        <v>0</v>
      </c>
      <c r="B109" s="436"/>
      <c r="C109" s="415"/>
      <c r="D109" s="215">
        <f t="shared" si="17"/>
        <v>0</v>
      </c>
      <c r="E109" s="215">
        <f t="shared" si="17"/>
        <v>0</v>
      </c>
      <c r="F109" s="215">
        <f t="shared" si="17"/>
        <v>0</v>
      </c>
      <c r="G109" s="215">
        <f t="shared" si="17"/>
        <v>0</v>
      </c>
      <c r="H109" s="215">
        <f t="shared" si="17"/>
        <v>0</v>
      </c>
      <c r="I109" s="215">
        <f t="shared" si="17"/>
        <v>0</v>
      </c>
      <c r="J109" s="215">
        <f t="shared" si="17"/>
        <v>0</v>
      </c>
      <c r="S109" s="12"/>
      <c r="T109" s="12"/>
      <c r="U109" s="12"/>
    </row>
    <row r="110" spans="1:21" hidden="1">
      <c r="A110" s="412" t="str">
        <f t="shared" si="15"/>
        <v>Spinach</v>
      </c>
      <c r="B110" s="436"/>
      <c r="C110" s="415"/>
      <c r="D110" s="215">
        <f t="shared" si="17"/>
        <v>0</v>
      </c>
      <c r="E110" s="215">
        <f t="shared" si="17"/>
        <v>0</v>
      </c>
      <c r="F110" s="215">
        <f t="shared" si="17"/>
        <v>0</v>
      </c>
      <c r="G110" s="215">
        <f t="shared" si="17"/>
        <v>0</v>
      </c>
      <c r="H110" s="215">
        <f t="shared" si="17"/>
        <v>0</v>
      </c>
      <c r="I110" s="215">
        <f t="shared" si="17"/>
        <v>0</v>
      </c>
      <c r="J110" s="215">
        <f t="shared" si="17"/>
        <v>0</v>
      </c>
      <c r="S110" s="12"/>
      <c r="T110" s="12"/>
      <c r="U110" s="12"/>
    </row>
    <row r="111" spans="1:21" hidden="1">
      <c r="A111" s="412" t="str">
        <f t="shared" si="15"/>
        <v>Fenugreek</v>
      </c>
      <c r="B111" s="436"/>
      <c r="C111" s="415"/>
      <c r="D111" s="215"/>
      <c r="E111" s="215"/>
      <c r="F111" s="215"/>
      <c r="G111" s="215"/>
      <c r="H111" s="215"/>
      <c r="I111" s="215"/>
      <c r="J111" s="215"/>
      <c r="S111" s="12"/>
      <c r="T111" s="12"/>
      <c r="U111" s="12"/>
    </row>
    <row r="112" spans="1:21" hidden="1">
      <c r="A112" s="412" t="str">
        <f t="shared" si="15"/>
        <v>coriander</v>
      </c>
      <c r="B112" s="436"/>
      <c r="C112" s="415"/>
      <c r="D112" s="215"/>
      <c r="E112" s="215"/>
      <c r="F112" s="215"/>
      <c r="G112" s="215"/>
      <c r="H112" s="215"/>
      <c r="I112" s="215"/>
      <c r="J112" s="215"/>
      <c r="S112" s="12"/>
      <c r="T112" s="12"/>
      <c r="U112" s="12"/>
    </row>
    <row r="113" spans="1:21" hidden="1">
      <c r="A113" s="412" t="str">
        <f t="shared" si="15"/>
        <v>Shepu</v>
      </c>
      <c r="B113" s="436"/>
      <c r="C113" s="415"/>
      <c r="D113" s="215"/>
      <c r="E113" s="215"/>
      <c r="F113" s="215"/>
      <c r="G113" s="215"/>
      <c r="H113" s="215"/>
      <c r="I113" s="215"/>
      <c r="J113" s="215"/>
      <c r="S113" s="12"/>
      <c r="T113" s="12"/>
      <c r="U113" s="12"/>
    </row>
    <row r="114" spans="1:21" hidden="1">
      <c r="A114" s="412" t="str">
        <f t="shared" si="15"/>
        <v>Pomegranate</v>
      </c>
      <c r="B114" s="436"/>
      <c r="C114" s="415"/>
      <c r="D114" s="215">
        <f t="shared" ref="D114:J117" si="18">D56</f>
        <v>0</v>
      </c>
      <c r="E114" s="215">
        <f t="shared" si="18"/>
        <v>0</v>
      </c>
      <c r="F114" s="215">
        <f t="shared" si="18"/>
        <v>0</v>
      </c>
      <c r="G114" s="215">
        <f t="shared" si="18"/>
        <v>0</v>
      </c>
      <c r="H114" s="215">
        <f t="shared" si="18"/>
        <v>0</v>
      </c>
      <c r="I114" s="215">
        <f t="shared" si="18"/>
        <v>0</v>
      </c>
      <c r="J114" s="215">
        <f t="shared" si="18"/>
        <v>0</v>
      </c>
      <c r="S114" s="12"/>
      <c r="T114" s="12"/>
      <c r="U114" s="12"/>
    </row>
    <row r="115" spans="1:21" hidden="1">
      <c r="A115" s="412" t="str">
        <f t="shared" si="15"/>
        <v>Banana</v>
      </c>
      <c r="B115" s="436"/>
      <c r="C115" s="415"/>
      <c r="D115" s="215">
        <f t="shared" si="18"/>
        <v>0</v>
      </c>
      <c r="E115" s="215">
        <f t="shared" si="18"/>
        <v>0</v>
      </c>
      <c r="F115" s="215">
        <f t="shared" si="18"/>
        <v>0</v>
      </c>
      <c r="G115" s="215">
        <f t="shared" si="18"/>
        <v>0</v>
      </c>
      <c r="H115" s="215">
        <f t="shared" si="18"/>
        <v>0</v>
      </c>
      <c r="I115" s="215">
        <f t="shared" si="18"/>
        <v>0</v>
      </c>
      <c r="J115" s="215">
        <f t="shared" si="18"/>
        <v>0</v>
      </c>
      <c r="S115" s="12"/>
      <c r="T115" s="12"/>
      <c r="U115" s="12"/>
    </row>
    <row r="116" spans="1:21" hidden="1">
      <c r="A116" s="412" t="str">
        <f t="shared" si="15"/>
        <v>Graps</v>
      </c>
      <c r="B116" s="436"/>
      <c r="C116" s="415"/>
      <c r="D116" s="215">
        <f t="shared" si="18"/>
        <v>0</v>
      </c>
      <c r="E116" s="215">
        <f t="shared" si="18"/>
        <v>0</v>
      </c>
      <c r="F116" s="215">
        <f t="shared" si="18"/>
        <v>0</v>
      </c>
      <c r="G116" s="215">
        <f t="shared" si="18"/>
        <v>0</v>
      </c>
      <c r="H116" s="215">
        <f t="shared" si="18"/>
        <v>0</v>
      </c>
      <c r="I116" s="215">
        <f t="shared" si="18"/>
        <v>0</v>
      </c>
      <c r="J116" s="215">
        <f t="shared" si="18"/>
        <v>0</v>
      </c>
      <c r="S116" s="12"/>
      <c r="T116" s="12"/>
      <c r="U116" s="12"/>
    </row>
    <row r="117" spans="1:21" hidden="1">
      <c r="A117" s="412" t="str">
        <f t="shared" si="15"/>
        <v>Citrus</v>
      </c>
      <c r="B117" s="436"/>
      <c r="C117" s="415"/>
      <c r="D117" s="215">
        <f t="shared" si="18"/>
        <v>0</v>
      </c>
      <c r="E117" s="215">
        <f t="shared" si="18"/>
        <v>0</v>
      </c>
      <c r="F117" s="215">
        <f t="shared" si="18"/>
        <v>0</v>
      </c>
      <c r="G117" s="215">
        <f t="shared" si="18"/>
        <v>0</v>
      </c>
      <c r="H117" s="215">
        <f t="shared" si="18"/>
        <v>0</v>
      </c>
      <c r="I117" s="215">
        <f t="shared" si="18"/>
        <v>0</v>
      </c>
      <c r="J117" s="215">
        <f t="shared" si="18"/>
        <v>0</v>
      </c>
      <c r="S117" s="12"/>
      <c r="T117" s="12"/>
      <c r="U117" s="12"/>
    </row>
    <row r="118" spans="1:21" hidden="1">
      <c r="A118" s="412"/>
      <c r="B118" s="436"/>
      <c r="C118" s="415"/>
      <c r="D118" s="215"/>
      <c r="E118" s="215"/>
      <c r="F118" s="215"/>
      <c r="G118" s="215"/>
      <c r="H118" s="215"/>
      <c r="I118" s="215"/>
      <c r="J118" s="215"/>
      <c r="S118" s="12"/>
      <c r="T118" s="12"/>
      <c r="U118" s="12"/>
    </row>
    <row r="119" spans="1:21">
      <c r="A119" s="412"/>
      <c r="B119" s="436"/>
      <c r="C119" s="415"/>
      <c r="D119" s="215"/>
      <c r="E119" s="215"/>
      <c r="F119" s="215"/>
      <c r="G119" s="215"/>
      <c r="H119" s="215"/>
      <c r="I119" s="215"/>
      <c r="J119" s="215"/>
      <c r="S119" s="12"/>
      <c r="T119" s="12"/>
      <c r="U119" s="12"/>
    </row>
    <row r="120" spans="1:21">
      <c r="A120" s="433" t="s">
        <v>0</v>
      </c>
      <c r="B120" s="434"/>
      <c r="C120" s="435"/>
      <c r="D120" s="91" t="s">
        <v>2</v>
      </c>
      <c r="E120" s="91" t="s">
        <v>3</v>
      </c>
      <c r="F120" s="91" t="s">
        <v>4</v>
      </c>
      <c r="G120" s="91" t="s">
        <v>5</v>
      </c>
      <c r="H120" s="91" t="s">
        <v>6</v>
      </c>
      <c r="I120" s="91" t="s">
        <v>170</v>
      </c>
      <c r="J120" s="91" t="s">
        <v>169</v>
      </c>
      <c r="S120" s="12"/>
      <c r="T120" s="12"/>
      <c r="U120" s="12"/>
    </row>
    <row r="121" spans="1:21">
      <c r="A121" s="414" t="s">
        <v>139</v>
      </c>
      <c r="B121" s="440"/>
      <c r="C121" s="417"/>
      <c r="D121" s="69"/>
      <c r="E121" s="69"/>
      <c r="F121" s="69"/>
      <c r="G121" s="69"/>
      <c r="H121" s="69"/>
      <c r="I121" s="69"/>
      <c r="J121" s="69"/>
    </row>
    <row r="122" spans="1:21">
      <c r="A122" s="412" t="s">
        <v>810</v>
      </c>
      <c r="B122" s="436"/>
      <c r="C122" s="415"/>
      <c r="D122" s="155">
        <f>D69*98%</f>
        <v>0</v>
      </c>
      <c r="E122" s="155">
        <f t="shared" ref="E122:J122" si="19">E69*98%</f>
        <v>0</v>
      </c>
      <c r="F122" s="155">
        <f t="shared" si="19"/>
        <v>0</v>
      </c>
      <c r="G122" s="155">
        <f t="shared" si="19"/>
        <v>0</v>
      </c>
      <c r="H122" s="155">
        <f t="shared" si="19"/>
        <v>0</v>
      </c>
      <c r="I122" s="155">
        <f t="shared" si="19"/>
        <v>0</v>
      </c>
      <c r="J122" s="155">
        <f t="shared" si="19"/>
        <v>0</v>
      </c>
      <c r="K122" s="21"/>
    </row>
    <row r="123" spans="1:21">
      <c r="A123" s="412" t="str">
        <f t="shared" ref="A123:A143" si="20">A70</f>
        <v xml:space="preserve">Bengal Gran (Grade B and Broken) </v>
      </c>
      <c r="B123" s="436"/>
      <c r="C123" s="415"/>
      <c r="D123" s="155">
        <f t="shared" ref="D123:J131" si="21">D70-(D70*$G$6)</f>
        <v>550.58276699999999</v>
      </c>
      <c r="E123" s="155">
        <f t="shared" si="21"/>
        <v>545.07693932999996</v>
      </c>
      <c r="F123" s="155">
        <f t="shared" si="21"/>
        <v>594.62938836000001</v>
      </c>
      <c r="G123" s="155">
        <f t="shared" si="21"/>
        <v>644.18183739000017</v>
      </c>
      <c r="H123" s="155">
        <f t="shared" si="21"/>
        <v>693.73428642000022</v>
      </c>
      <c r="I123" s="155">
        <f t="shared" si="21"/>
        <v>743.28673545000015</v>
      </c>
      <c r="J123" s="155">
        <f t="shared" si="21"/>
        <v>792.83918448000009</v>
      </c>
    </row>
    <row r="124" spans="1:21" hidden="1">
      <c r="A124" s="412" t="str">
        <f t="shared" si="20"/>
        <v>Paddy/Rice</v>
      </c>
      <c r="B124" s="436"/>
      <c r="C124" s="415"/>
      <c r="D124" s="155">
        <f t="shared" si="21"/>
        <v>0</v>
      </c>
      <c r="E124" s="155">
        <f t="shared" si="21"/>
        <v>0</v>
      </c>
      <c r="F124" s="155">
        <f t="shared" si="21"/>
        <v>0</v>
      </c>
      <c r="G124" s="155">
        <f t="shared" si="21"/>
        <v>0</v>
      </c>
      <c r="H124" s="155">
        <f t="shared" si="21"/>
        <v>0</v>
      </c>
      <c r="I124" s="155">
        <f t="shared" si="21"/>
        <v>0</v>
      </c>
      <c r="J124" s="155">
        <f t="shared" si="21"/>
        <v>0</v>
      </c>
    </row>
    <row r="125" spans="1:21" hidden="1">
      <c r="A125" s="412" t="str">
        <f t="shared" si="20"/>
        <v>Green Gram/ Moong</v>
      </c>
      <c r="B125" s="436"/>
      <c r="C125" s="415"/>
      <c r="D125" s="155">
        <f t="shared" si="21"/>
        <v>0</v>
      </c>
      <c r="E125" s="155">
        <f t="shared" si="21"/>
        <v>0</v>
      </c>
      <c r="F125" s="155">
        <f t="shared" si="21"/>
        <v>0</v>
      </c>
      <c r="G125" s="155">
        <f t="shared" si="21"/>
        <v>0</v>
      </c>
      <c r="H125" s="155">
        <f t="shared" si="21"/>
        <v>0</v>
      </c>
      <c r="I125" s="155">
        <f t="shared" si="21"/>
        <v>0</v>
      </c>
      <c r="J125" s="155">
        <f t="shared" si="21"/>
        <v>0</v>
      </c>
    </row>
    <row r="126" spans="1:21" hidden="1">
      <c r="A126" s="412" t="str">
        <f t="shared" si="20"/>
        <v>Maize</v>
      </c>
      <c r="B126" s="436"/>
      <c r="C126" s="415"/>
      <c r="D126" s="155">
        <f t="shared" si="21"/>
        <v>0</v>
      </c>
      <c r="E126" s="155">
        <f t="shared" si="21"/>
        <v>0</v>
      </c>
      <c r="F126" s="155">
        <f t="shared" si="21"/>
        <v>0</v>
      </c>
      <c r="G126" s="155">
        <f t="shared" si="21"/>
        <v>0</v>
      </c>
      <c r="H126" s="155">
        <f t="shared" si="21"/>
        <v>0</v>
      </c>
      <c r="I126" s="155">
        <f t="shared" si="21"/>
        <v>0</v>
      </c>
      <c r="J126" s="155">
        <f t="shared" si="21"/>
        <v>0</v>
      </c>
    </row>
    <row r="127" spans="1:21" hidden="1">
      <c r="A127" s="412" t="str">
        <f t="shared" si="20"/>
        <v>Black Gram/Udid</v>
      </c>
      <c r="B127" s="436"/>
      <c r="C127" s="415"/>
      <c r="D127" s="155">
        <f t="shared" si="21"/>
        <v>0</v>
      </c>
      <c r="E127" s="155">
        <f t="shared" si="21"/>
        <v>0</v>
      </c>
      <c r="F127" s="155">
        <f t="shared" si="21"/>
        <v>0</v>
      </c>
      <c r="G127" s="155">
        <f t="shared" si="21"/>
        <v>0</v>
      </c>
      <c r="H127" s="155">
        <f t="shared" si="21"/>
        <v>0</v>
      </c>
      <c r="I127" s="155">
        <f t="shared" si="21"/>
        <v>0</v>
      </c>
      <c r="J127" s="155">
        <f t="shared" si="21"/>
        <v>0</v>
      </c>
    </row>
    <row r="128" spans="1:21" hidden="1">
      <c r="A128" s="412" t="str">
        <f t="shared" si="20"/>
        <v>Bajra</v>
      </c>
      <c r="B128" s="436"/>
      <c r="C128" s="415"/>
      <c r="D128" s="155">
        <f t="shared" si="21"/>
        <v>0</v>
      </c>
      <c r="E128" s="155">
        <f t="shared" si="21"/>
        <v>0</v>
      </c>
      <c r="F128" s="155">
        <f t="shared" si="21"/>
        <v>0</v>
      </c>
      <c r="G128" s="155">
        <f t="shared" si="21"/>
        <v>0</v>
      </c>
      <c r="H128" s="155">
        <f t="shared" si="21"/>
        <v>0</v>
      </c>
      <c r="I128" s="155">
        <f t="shared" si="21"/>
        <v>0</v>
      </c>
      <c r="J128" s="155">
        <f t="shared" si="21"/>
        <v>0</v>
      </c>
    </row>
    <row r="129" spans="1:19" hidden="1">
      <c r="A129" s="412" t="str">
        <f t="shared" si="20"/>
        <v>Jawar</v>
      </c>
      <c r="B129" s="436"/>
      <c r="C129" s="415"/>
      <c r="D129" s="155">
        <f t="shared" si="21"/>
        <v>0</v>
      </c>
      <c r="E129" s="155">
        <f t="shared" si="21"/>
        <v>0</v>
      </c>
      <c r="F129" s="155">
        <f t="shared" si="21"/>
        <v>0</v>
      </c>
      <c r="G129" s="155">
        <f t="shared" si="21"/>
        <v>0</v>
      </c>
      <c r="H129" s="155">
        <f t="shared" si="21"/>
        <v>0</v>
      </c>
      <c r="I129" s="155">
        <f t="shared" si="21"/>
        <v>0</v>
      </c>
      <c r="J129" s="155">
        <f t="shared" si="21"/>
        <v>0</v>
      </c>
    </row>
    <row r="130" spans="1:19" hidden="1">
      <c r="A130" s="412" t="str">
        <f t="shared" si="20"/>
        <v>Sunflower</v>
      </c>
      <c r="B130" s="436"/>
      <c r="C130" s="415"/>
      <c r="D130" s="155">
        <f t="shared" si="21"/>
        <v>0</v>
      </c>
      <c r="E130" s="155">
        <f t="shared" si="21"/>
        <v>0</v>
      </c>
      <c r="F130" s="155">
        <f t="shared" si="21"/>
        <v>0</v>
      </c>
      <c r="G130" s="155">
        <f t="shared" si="21"/>
        <v>0</v>
      </c>
      <c r="H130" s="155">
        <f t="shared" si="21"/>
        <v>0</v>
      </c>
      <c r="I130" s="155">
        <f t="shared" si="21"/>
        <v>0</v>
      </c>
      <c r="J130" s="155">
        <f t="shared" si="21"/>
        <v>0</v>
      </c>
    </row>
    <row r="131" spans="1:19" hidden="1">
      <c r="A131" s="412" t="str">
        <f t="shared" si="20"/>
        <v>Wheat</v>
      </c>
      <c r="B131" s="436"/>
      <c r="C131" s="415"/>
      <c r="D131" s="155">
        <f t="shared" si="21"/>
        <v>0</v>
      </c>
      <c r="E131" s="155">
        <f t="shared" si="21"/>
        <v>0</v>
      </c>
      <c r="F131" s="155">
        <f t="shared" si="21"/>
        <v>0</v>
      </c>
      <c r="G131" s="155">
        <f t="shared" si="21"/>
        <v>0</v>
      </c>
      <c r="H131" s="155">
        <f t="shared" si="21"/>
        <v>0</v>
      </c>
      <c r="I131" s="155">
        <f t="shared" si="21"/>
        <v>0</v>
      </c>
      <c r="J131" s="155">
        <f t="shared" si="21"/>
        <v>0</v>
      </c>
    </row>
    <row r="132" spans="1:19" hidden="1">
      <c r="A132" s="412" t="str">
        <f t="shared" si="20"/>
        <v>Bengal Gram/Channa</v>
      </c>
      <c r="B132" s="436"/>
      <c r="C132" s="415"/>
      <c r="D132" s="155">
        <f>D79-(D79*$G$6)</f>
        <v>0</v>
      </c>
      <c r="E132" s="155">
        <f t="shared" ref="D132:J141" si="22">E79-(E79*$G$6)</f>
        <v>0</v>
      </c>
      <c r="F132" s="155">
        <f t="shared" si="22"/>
        <v>0</v>
      </c>
      <c r="G132" s="155">
        <f t="shared" si="22"/>
        <v>0</v>
      </c>
      <c r="H132" s="155">
        <f t="shared" si="22"/>
        <v>0</v>
      </c>
      <c r="I132" s="155">
        <f t="shared" si="22"/>
        <v>0</v>
      </c>
      <c r="J132" s="155">
        <f t="shared" si="22"/>
        <v>0</v>
      </c>
    </row>
    <row r="133" spans="1:19" hidden="1">
      <c r="A133" s="412" t="str">
        <f t="shared" si="20"/>
        <v>Jawar</v>
      </c>
      <c r="B133" s="436"/>
      <c r="C133" s="415"/>
      <c r="D133" s="155">
        <f t="shared" si="22"/>
        <v>0</v>
      </c>
      <c r="E133" s="155">
        <f t="shared" si="22"/>
        <v>0</v>
      </c>
      <c r="F133" s="155">
        <f t="shared" si="22"/>
        <v>0</v>
      </c>
      <c r="G133" s="155">
        <f t="shared" si="22"/>
        <v>0</v>
      </c>
      <c r="H133" s="155">
        <f t="shared" si="22"/>
        <v>0</v>
      </c>
      <c r="I133" s="155">
        <f t="shared" si="22"/>
        <v>0</v>
      </c>
      <c r="J133" s="155">
        <f t="shared" si="22"/>
        <v>0</v>
      </c>
    </row>
    <row r="134" spans="1:19" hidden="1">
      <c r="A134" s="412" t="str">
        <f t="shared" si="20"/>
        <v>Maize</v>
      </c>
      <c r="B134" s="436"/>
      <c r="C134" s="415"/>
      <c r="D134" s="155">
        <f t="shared" si="22"/>
        <v>0</v>
      </c>
      <c r="E134" s="155">
        <f t="shared" si="22"/>
        <v>0</v>
      </c>
      <c r="F134" s="155">
        <f t="shared" si="22"/>
        <v>0</v>
      </c>
      <c r="G134" s="155">
        <f t="shared" si="22"/>
        <v>0</v>
      </c>
      <c r="H134" s="155">
        <f t="shared" si="22"/>
        <v>0</v>
      </c>
      <c r="I134" s="155">
        <f t="shared" si="22"/>
        <v>0</v>
      </c>
      <c r="J134" s="155">
        <f t="shared" si="22"/>
        <v>0</v>
      </c>
      <c r="S134" s="556">
        <f>+S145/Y145</f>
        <v>0.69444444444444431</v>
      </c>
    </row>
    <row r="135" spans="1:19" hidden="1">
      <c r="A135" s="412" t="str">
        <f t="shared" si="20"/>
        <v>Safflower</v>
      </c>
      <c r="B135" s="436"/>
      <c r="C135" s="415"/>
      <c r="D135" s="155">
        <f t="shared" si="22"/>
        <v>0</v>
      </c>
      <c r="E135" s="155">
        <f t="shared" si="22"/>
        <v>0</v>
      </c>
      <c r="F135" s="155">
        <f t="shared" si="22"/>
        <v>0</v>
      </c>
      <c r="G135" s="155">
        <f t="shared" si="22"/>
        <v>0</v>
      </c>
      <c r="H135" s="155">
        <f t="shared" si="22"/>
        <v>0</v>
      </c>
      <c r="I135" s="155">
        <f t="shared" si="22"/>
        <v>0</v>
      </c>
      <c r="J135" s="155">
        <f t="shared" si="22"/>
        <v>0</v>
      </c>
    </row>
    <row r="136" spans="1:19" hidden="1">
      <c r="A136" s="412">
        <f t="shared" si="20"/>
        <v>0</v>
      </c>
      <c r="B136" s="436"/>
      <c r="C136" s="415"/>
      <c r="D136" s="155">
        <f t="shared" si="22"/>
        <v>0</v>
      </c>
      <c r="E136" s="155">
        <f t="shared" si="22"/>
        <v>0</v>
      </c>
      <c r="F136" s="155">
        <f t="shared" si="22"/>
        <v>0</v>
      </c>
      <c r="G136" s="155">
        <f t="shared" si="22"/>
        <v>0</v>
      </c>
      <c r="H136" s="155">
        <f t="shared" si="22"/>
        <v>0</v>
      </c>
      <c r="I136" s="155">
        <f t="shared" si="22"/>
        <v>0</v>
      </c>
      <c r="J136" s="155">
        <f t="shared" si="22"/>
        <v>0</v>
      </c>
    </row>
    <row r="137" spans="1:19" hidden="1">
      <c r="A137" s="412">
        <f t="shared" si="20"/>
        <v>0</v>
      </c>
      <c r="B137" s="436"/>
      <c r="C137" s="415"/>
      <c r="D137" s="155">
        <f t="shared" si="22"/>
        <v>0</v>
      </c>
      <c r="E137" s="155">
        <f t="shared" si="22"/>
        <v>0</v>
      </c>
      <c r="F137" s="155">
        <f t="shared" si="22"/>
        <v>0</v>
      </c>
      <c r="G137" s="155">
        <f t="shared" si="22"/>
        <v>0</v>
      </c>
      <c r="H137" s="155">
        <f t="shared" si="22"/>
        <v>0</v>
      </c>
      <c r="I137" s="155">
        <f t="shared" si="22"/>
        <v>0</v>
      </c>
      <c r="J137" s="155">
        <f t="shared" si="22"/>
        <v>0</v>
      </c>
    </row>
    <row r="138" spans="1:19" hidden="1">
      <c r="A138" s="412">
        <f t="shared" si="20"/>
        <v>0</v>
      </c>
      <c r="B138" s="436"/>
      <c r="C138" s="415"/>
      <c r="D138" s="155">
        <f t="shared" si="22"/>
        <v>0</v>
      </c>
      <c r="E138" s="155">
        <f t="shared" si="22"/>
        <v>0</v>
      </c>
      <c r="F138" s="155">
        <f t="shared" si="22"/>
        <v>0</v>
      </c>
      <c r="G138" s="155">
        <f t="shared" si="22"/>
        <v>0</v>
      </c>
      <c r="H138" s="155">
        <f t="shared" si="22"/>
        <v>0</v>
      </c>
      <c r="I138" s="155">
        <f t="shared" si="22"/>
        <v>0</v>
      </c>
      <c r="J138" s="155">
        <f t="shared" si="22"/>
        <v>0</v>
      </c>
    </row>
    <row r="139" spans="1:19" hidden="1">
      <c r="A139" s="412" t="str">
        <f t="shared" si="20"/>
        <v>Groundnut</v>
      </c>
      <c r="B139" s="436"/>
      <c r="C139" s="415"/>
      <c r="D139" s="155">
        <f t="shared" si="22"/>
        <v>0</v>
      </c>
      <c r="E139" s="155">
        <f t="shared" si="22"/>
        <v>0</v>
      </c>
      <c r="F139" s="155">
        <f t="shared" si="22"/>
        <v>0</v>
      </c>
      <c r="G139" s="155">
        <f t="shared" si="22"/>
        <v>0</v>
      </c>
      <c r="H139" s="155">
        <f t="shared" si="22"/>
        <v>0</v>
      </c>
      <c r="I139" s="155">
        <f t="shared" si="22"/>
        <v>0</v>
      </c>
      <c r="J139" s="155">
        <f t="shared" si="22"/>
        <v>0</v>
      </c>
    </row>
    <row r="140" spans="1:19" hidden="1">
      <c r="A140" s="412">
        <f t="shared" si="20"/>
        <v>0</v>
      </c>
      <c r="B140" s="436"/>
      <c r="C140" s="415"/>
      <c r="D140" s="155">
        <f t="shared" si="22"/>
        <v>0</v>
      </c>
      <c r="E140" s="155">
        <f t="shared" si="22"/>
        <v>0</v>
      </c>
      <c r="F140" s="155">
        <f t="shared" si="22"/>
        <v>0</v>
      </c>
      <c r="G140" s="155">
        <f t="shared" si="22"/>
        <v>0</v>
      </c>
      <c r="H140" s="155">
        <f t="shared" si="22"/>
        <v>0</v>
      </c>
      <c r="I140" s="155">
        <f t="shared" si="22"/>
        <v>0</v>
      </c>
      <c r="J140" s="155">
        <f t="shared" si="22"/>
        <v>0</v>
      </c>
    </row>
    <row r="141" spans="1:19" hidden="1">
      <c r="A141" s="412">
        <f t="shared" si="20"/>
        <v>0</v>
      </c>
      <c r="B141" s="436"/>
      <c r="C141" s="415"/>
      <c r="D141" s="155">
        <f t="shared" si="22"/>
        <v>0</v>
      </c>
      <c r="E141" s="155">
        <f t="shared" si="22"/>
        <v>0</v>
      </c>
      <c r="F141" s="155">
        <f t="shared" si="22"/>
        <v>0</v>
      </c>
      <c r="G141" s="155">
        <f t="shared" si="22"/>
        <v>0</v>
      </c>
      <c r="H141" s="155">
        <f t="shared" si="22"/>
        <v>0</v>
      </c>
      <c r="I141" s="155">
        <f t="shared" si="22"/>
        <v>0</v>
      </c>
      <c r="J141" s="155">
        <f t="shared" si="22"/>
        <v>0</v>
      </c>
    </row>
    <row r="142" spans="1:19" hidden="1">
      <c r="A142" s="412">
        <f t="shared" si="20"/>
        <v>0</v>
      </c>
      <c r="B142" s="436"/>
      <c r="C142" s="415"/>
      <c r="D142" s="155">
        <f t="shared" ref="D142:J143" si="23">D89-(D89*$G$6)</f>
        <v>0</v>
      </c>
      <c r="E142" s="155">
        <f t="shared" si="23"/>
        <v>0</v>
      </c>
      <c r="F142" s="155">
        <f t="shared" si="23"/>
        <v>0</v>
      </c>
      <c r="G142" s="155">
        <f t="shared" si="23"/>
        <v>0</v>
      </c>
      <c r="H142" s="155">
        <f t="shared" si="23"/>
        <v>0</v>
      </c>
      <c r="I142" s="155">
        <f t="shared" si="23"/>
        <v>0</v>
      </c>
      <c r="J142" s="155">
        <f t="shared" si="23"/>
        <v>0</v>
      </c>
    </row>
    <row r="143" spans="1:19" hidden="1">
      <c r="A143" s="412">
        <f t="shared" si="20"/>
        <v>0</v>
      </c>
      <c r="B143" s="436"/>
      <c r="C143" s="415"/>
      <c r="D143" s="155">
        <f t="shared" si="23"/>
        <v>0</v>
      </c>
      <c r="E143" s="155">
        <f t="shared" si="23"/>
        <v>0</v>
      </c>
      <c r="F143" s="155">
        <f t="shared" si="23"/>
        <v>0</v>
      </c>
      <c r="G143" s="155">
        <f t="shared" si="23"/>
        <v>0</v>
      </c>
      <c r="H143" s="155">
        <f t="shared" si="23"/>
        <v>0</v>
      </c>
      <c r="I143" s="155">
        <f t="shared" si="23"/>
        <v>0</v>
      </c>
      <c r="J143" s="155">
        <f t="shared" si="23"/>
        <v>0</v>
      </c>
    </row>
    <row r="144" spans="1:19">
      <c r="A144" s="412"/>
      <c r="B144" s="436"/>
      <c r="C144" s="415"/>
      <c r="D144" s="155"/>
      <c r="E144" s="155"/>
      <c r="F144" s="155"/>
      <c r="G144" s="155"/>
      <c r="H144" s="155"/>
      <c r="I144" s="155"/>
      <c r="J144" s="155"/>
    </row>
    <row r="145" spans="1:28" hidden="1">
      <c r="A145" s="414" t="str">
        <f t="shared" ref="A145:A170" si="24">A92</f>
        <v>Fruit  &amp; Vegetables Crop Production Details</v>
      </c>
      <c r="B145" s="440"/>
      <c r="C145" s="417"/>
      <c r="D145" s="155"/>
      <c r="E145" s="155"/>
      <c r="F145" s="155"/>
      <c r="G145" s="155"/>
      <c r="H145" s="155"/>
      <c r="I145" s="155"/>
      <c r="J145" s="155"/>
      <c r="S145" s="224">
        <f t="shared" ref="S145:Z145" si="25">SUM(D121:D144)</f>
        <v>550.58276699999999</v>
      </c>
      <c r="T145" s="224">
        <f t="shared" si="25"/>
        <v>545.07693932999996</v>
      </c>
      <c r="U145" s="224">
        <f t="shared" si="25"/>
        <v>594.62938836000001</v>
      </c>
      <c r="V145" s="224">
        <f t="shared" si="25"/>
        <v>644.18183739000017</v>
      </c>
      <c r="W145" s="224">
        <f t="shared" si="25"/>
        <v>693.73428642000022</v>
      </c>
      <c r="X145" s="224">
        <f t="shared" si="25"/>
        <v>743.28673545000015</v>
      </c>
      <c r="Y145" s="224">
        <f t="shared" si="25"/>
        <v>792.83918448000009</v>
      </c>
      <c r="Z145" s="224">
        <f t="shared" si="25"/>
        <v>0</v>
      </c>
      <c r="AA145" s="224">
        <f>SUM(S121:S144)</f>
        <v>0.69444444444444431</v>
      </c>
      <c r="AB145" s="224"/>
    </row>
    <row r="146" spans="1:28" hidden="1">
      <c r="A146" s="412" t="str">
        <f t="shared" si="24"/>
        <v>Exotic Vegitables</v>
      </c>
      <c r="B146" s="436"/>
      <c r="C146" s="415"/>
      <c r="D146" s="155">
        <f t="shared" ref="D146:J155" si="26">D93-(D93*$G$7)</f>
        <v>0</v>
      </c>
      <c r="E146" s="155">
        <f t="shared" si="26"/>
        <v>0</v>
      </c>
      <c r="F146" s="155">
        <f t="shared" si="26"/>
        <v>0</v>
      </c>
      <c r="G146" s="155">
        <f t="shared" si="26"/>
        <v>0</v>
      </c>
      <c r="H146" s="155">
        <f t="shared" si="26"/>
        <v>0</v>
      </c>
      <c r="I146" s="155">
        <f t="shared" si="26"/>
        <v>0</v>
      </c>
      <c r="J146" s="155">
        <f t="shared" si="26"/>
        <v>0</v>
      </c>
      <c r="S146" s="556">
        <f>+S145*100/1000</f>
        <v>55.0582767</v>
      </c>
      <c r="T146" s="556">
        <f t="shared" ref="T146:Y146" si="27">+T145*100/1000</f>
        <v>54.507693932999992</v>
      </c>
      <c r="U146" s="556">
        <f t="shared" si="27"/>
        <v>59.462938835999999</v>
      </c>
      <c r="V146" s="556">
        <f t="shared" si="27"/>
        <v>64.418183739000014</v>
      </c>
      <c r="W146" s="556">
        <f t="shared" si="27"/>
        <v>69.373428642000022</v>
      </c>
      <c r="X146" s="556">
        <f t="shared" si="27"/>
        <v>74.328673545000015</v>
      </c>
      <c r="Y146" s="556">
        <f t="shared" si="27"/>
        <v>79.283918448000009</v>
      </c>
    </row>
    <row r="147" spans="1:28" hidden="1">
      <c r="A147" s="412" t="str">
        <f t="shared" si="24"/>
        <v>Tomato</v>
      </c>
      <c r="B147" s="436"/>
      <c r="C147" s="415"/>
      <c r="D147" s="155">
        <f t="shared" si="26"/>
        <v>0</v>
      </c>
      <c r="E147" s="155">
        <f t="shared" si="26"/>
        <v>0</v>
      </c>
      <c r="F147" s="155">
        <f t="shared" si="26"/>
        <v>0</v>
      </c>
      <c r="G147" s="155">
        <f t="shared" si="26"/>
        <v>0</v>
      </c>
      <c r="H147" s="155">
        <f t="shared" si="26"/>
        <v>0</v>
      </c>
      <c r="I147" s="155">
        <f t="shared" si="26"/>
        <v>0</v>
      </c>
      <c r="J147" s="155">
        <f t="shared" si="26"/>
        <v>0</v>
      </c>
      <c r="S147" s="556">
        <f>+S146</f>
        <v>55.0582767</v>
      </c>
      <c r="T147">
        <f>+S147*105%</f>
        <v>57.811190535000001</v>
      </c>
      <c r="U147">
        <f>+T147*105%</f>
        <v>60.701750061750005</v>
      </c>
      <c r="V147">
        <f>+U147*105%</f>
        <v>63.736837564837508</v>
      </c>
      <c r="W147">
        <f>+V147*105%</f>
        <v>66.923679443079379</v>
      </c>
      <c r="X147">
        <f>+W147*105%</f>
        <v>70.269863415233345</v>
      </c>
      <c r="Y147" s="21">
        <f>+Y146</f>
        <v>79.283918448000009</v>
      </c>
    </row>
    <row r="148" spans="1:28" hidden="1">
      <c r="A148" s="412" t="str">
        <f t="shared" si="24"/>
        <v>Okra</v>
      </c>
      <c r="B148" s="436"/>
      <c r="C148" s="415"/>
      <c r="D148" s="155">
        <f t="shared" si="26"/>
        <v>0</v>
      </c>
      <c r="E148" s="155">
        <f t="shared" si="26"/>
        <v>0</v>
      </c>
      <c r="F148" s="155">
        <f t="shared" si="26"/>
        <v>0</v>
      </c>
      <c r="G148" s="155">
        <f t="shared" si="26"/>
        <v>0</v>
      </c>
      <c r="H148" s="155">
        <f t="shared" si="26"/>
        <v>0</v>
      </c>
      <c r="I148" s="155">
        <f t="shared" si="26"/>
        <v>0</v>
      </c>
      <c r="J148" s="155">
        <f t="shared" si="26"/>
        <v>0</v>
      </c>
    </row>
    <row r="149" spans="1:28" hidden="1">
      <c r="A149" s="412" t="str">
        <f t="shared" si="24"/>
        <v>Chilli</v>
      </c>
      <c r="B149" s="436"/>
      <c r="C149" s="415"/>
      <c r="D149" s="155">
        <f t="shared" si="26"/>
        <v>0</v>
      </c>
      <c r="E149" s="155">
        <f t="shared" si="26"/>
        <v>0</v>
      </c>
      <c r="F149" s="155">
        <f t="shared" si="26"/>
        <v>0</v>
      </c>
      <c r="G149" s="155">
        <f t="shared" si="26"/>
        <v>0</v>
      </c>
      <c r="H149" s="155">
        <f t="shared" si="26"/>
        <v>0</v>
      </c>
      <c r="I149" s="155">
        <f t="shared" si="26"/>
        <v>0</v>
      </c>
      <c r="J149" s="155">
        <f t="shared" si="26"/>
        <v>0</v>
      </c>
    </row>
    <row r="150" spans="1:28" hidden="1">
      <c r="A150" s="412" t="str">
        <f t="shared" si="24"/>
        <v>Potato</v>
      </c>
      <c r="B150" s="436"/>
      <c r="C150" s="415"/>
      <c r="D150" s="155">
        <f t="shared" si="26"/>
        <v>0</v>
      </c>
      <c r="E150" s="155">
        <f t="shared" si="26"/>
        <v>0</v>
      </c>
      <c r="F150" s="155">
        <f t="shared" si="26"/>
        <v>0</v>
      </c>
      <c r="G150" s="155">
        <f t="shared" si="26"/>
        <v>0</v>
      </c>
      <c r="H150" s="155">
        <f t="shared" si="26"/>
        <v>0</v>
      </c>
      <c r="I150" s="155">
        <f t="shared" si="26"/>
        <v>0</v>
      </c>
      <c r="J150" s="155">
        <f t="shared" si="26"/>
        <v>0</v>
      </c>
    </row>
    <row r="151" spans="1:28" hidden="1">
      <c r="A151" s="412" t="str">
        <f t="shared" si="24"/>
        <v>Cabbage</v>
      </c>
      <c r="B151" s="436"/>
      <c r="C151" s="415"/>
      <c r="D151" s="155">
        <f t="shared" si="26"/>
        <v>0</v>
      </c>
      <c r="E151" s="155">
        <f t="shared" si="26"/>
        <v>0</v>
      </c>
      <c r="F151" s="155">
        <f t="shared" si="26"/>
        <v>0</v>
      </c>
      <c r="G151" s="155">
        <f t="shared" si="26"/>
        <v>0</v>
      </c>
      <c r="H151" s="155">
        <f t="shared" si="26"/>
        <v>0</v>
      </c>
      <c r="I151" s="155">
        <f t="shared" si="26"/>
        <v>0</v>
      </c>
      <c r="J151" s="155">
        <f t="shared" si="26"/>
        <v>0</v>
      </c>
    </row>
    <row r="152" spans="1:28" hidden="1">
      <c r="A152" s="412" t="str">
        <f t="shared" si="24"/>
        <v>Coliflower</v>
      </c>
      <c r="B152" s="436"/>
      <c r="C152" s="415"/>
      <c r="D152" s="155">
        <f t="shared" si="26"/>
        <v>0</v>
      </c>
      <c r="E152" s="155">
        <f t="shared" si="26"/>
        <v>0</v>
      </c>
      <c r="F152" s="155">
        <f t="shared" si="26"/>
        <v>0</v>
      </c>
      <c r="G152" s="155">
        <f t="shared" si="26"/>
        <v>0</v>
      </c>
      <c r="H152" s="155">
        <f t="shared" si="26"/>
        <v>0</v>
      </c>
      <c r="I152" s="155">
        <f t="shared" si="26"/>
        <v>0</v>
      </c>
      <c r="J152" s="155">
        <f t="shared" si="26"/>
        <v>0</v>
      </c>
    </row>
    <row r="153" spans="1:28" hidden="1">
      <c r="A153" s="412" t="str">
        <f t="shared" si="24"/>
        <v>Bitter Gurd</v>
      </c>
      <c r="B153" s="436"/>
      <c r="C153" s="415"/>
      <c r="D153" s="155">
        <f t="shared" si="26"/>
        <v>0</v>
      </c>
      <c r="E153" s="155">
        <f t="shared" si="26"/>
        <v>0</v>
      </c>
      <c r="F153" s="155">
        <f t="shared" si="26"/>
        <v>0</v>
      </c>
      <c r="G153" s="155">
        <f t="shared" si="26"/>
        <v>0</v>
      </c>
      <c r="H153" s="155">
        <f t="shared" si="26"/>
        <v>0</v>
      </c>
      <c r="I153" s="155">
        <f t="shared" si="26"/>
        <v>0</v>
      </c>
      <c r="J153" s="155">
        <f t="shared" si="26"/>
        <v>0</v>
      </c>
    </row>
    <row r="154" spans="1:28" hidden="1">
      <c r="A154" s="412">
        <f t="shared" si="24"/>
        <v>0</v>
      </c>
      <c r="B154" s="436"/>
      <c r="C154" s="415"/>
      <c r="D154" s="155">
        <f t="shared" si="26"/>
        <v>0</v>
      </c>
      <c r="E154" s="155">
        <f t="shared" si="26"/>
        <v>0</v>
      </c>
      <c r="F154" s="155">
        <f t="shared" si="26"/>
        <v>0</v>
      </c>
      <c r="G154" s="155">
        <f t="shared" si="26"/>
        <v>0</v>
      </c>
      <c r="H154" s="155">
        <f t="shared" si="26"/>
        <v>0</v>
      </c>
      <c r="I154" s="155">
        <f t="shared" si="26"/>
        <v>0</v>
      </c>
      <c r="J154" s="155">
        <f t="shared" si="26"/>
        <v>0</v>
      </c>
      <c r="S154" s="557">
        <f>+S147/300</f>
        <v>0.18352758899999999</v>
      </c>
      <c r="T154" s="557">
        <f t="shared" ref="T154:Y154" si="28">+T147/300</f>
        <v>0.19270396845000001</v>
      </c>
      <c r="U154" s="557">
        <f t="shared" si="28"/>
        <v>0.2023391668725</v>
      </c>
      <c r="V154" s="557">
        <f t="shared" si="28"/>
        <v>0.21245612521612503</v>
      </c>
      <c r="W154" s="557">
        <f t="shared" si="28"/>
        <v>0.22307893147693125</v>
      </c>
      <c r="X154" s="557">
        <f t="shared" si="28"/>
        <v>0.23423287805077783</v>
      </c>
      <c r="Y154" s="557">
        <f t="shared" si="28"/>
        <v>0.26427972816</v>
      </c>
      <c r="Z154" s="557">
        <f>300*16</f>
        <v>4800</v>
      </c>
    </row>
    <row r="155" spans="1:28" hidden="1">
      <c r="A155" s="412" t="str">
        <f t="shared" si="24"/>
        <v>Exotic Vegitables</v>
      </c>
      <c r="B155" s="436"/>
      <c r="C155" s="415"/>
      <c r="D155" s="155">
        <f t="shared" si="26"/>
        <v>0</v>
      </c>
      <c r="E155" s="155">
        <f t="shared" si="26"/>
        <v>0</v>
      </c>
      <c r="F155" s="155">
        <f t="shared" si="26"/>
        <v>0</v>
      </c>
      <c r="G155" s="155">
        <f t="shared" si="26"/>
        <v>0</v>
      </c>
      <c r="H155" s="155">
        <f t="shared" si="26"/>
        <v>0</v>
      </c>
      <c r="I155" s="155">
        <f t="shared" si="26"/>
        <v>0</v>
      </c>
      <c r="J155" s="155">
        <f t="shared" si="26"/>
        <v>0</v>
      </c>
      <c r="S155">
        <v>20</v>
      </c>
      <c r="T155">
        <v>20</v>
      </c>
      <c r="U155">
        <v>20</v>
      </c>
      <c r="V155">
        <v>20</v>
      </c>
      <c r="W155">
        <v>20</v>
      </c>
      <c r="X155">
        <v>20</v>
      </c>
      <c r="Y155">
        <v>20</v>
      </c>
    </row>
    <row r="156" spans="1:28" hidden="1">
      <c r="A156" s="412" t="str">
        <f t="shared" si="24"/>
        <v>Tomato</v>
      </c>
      <c r="B156" s="436"/>
      <c r="C156" s="415"/>
      <c r="D156" s="155">
        <f t="shared" ref="D156:J163" si="29">D103-(D103*$G$7)</f>
        <v>0</v>
      </c>
      <c r="E156" s="155">
        <f t="shared" si="29"/>
        <v>0</v>
      </c>
      <c r="F156" s="155">
        <f t="shared" si="29"/>
        <v>0</v>
      </c>
      <c r="G156" s="155">
        <f t="shared" si="29"/>
        <v>0</v>
      </c>
      <c r="H156" s="155">
        <f t="shared" si="29"/>
        <v>0</v>
      </c>
      <c r="I156" s="155">
        <f t="shared" si="29"/>
        <v>0</v>
      </c>
      <c r="J156" s="155">
        <f t="shared" si="29"/>
        <v>0</v>
      </c>
      <c r="S156" s="558">
        <v>0.6</v>
      </c>
      <c r="T156" s="558">
        <f t="shared" ref="T156:Y156" si="30">+S156+5%</f>
        <v>0.65</v>
      </c>
      <c r="U156" s="558">
        <f t="shared" si="30"/>
        <v>0.70000000000000007</v>
      </c>
      <c r="V156" s="558">
        <f t="shared" si="30"/>
        <v>0.75000000000000011</v>
      </c>
      <c r="W156" s="558">
        <f t="shared" si="30"/>
        <v>0.80000000000000016</v>
      </c>
      <c r="X156" s="558">
        <f t="shared" si="30"/>
        <v>0.8500000000000002</v>
      </c>
      <c r="Y156" s="558">
        <f t="shared" si="30"/>
        <v>0.90000000000000024</v>
      </c>
    </row>
    <row r="157" spans="1:28" hidden="1">
      <c r="A157" s="412" t="str">
        <f t="shared" si="24"/>
        <v>Okra</v>
      </c>
      <c r="B157" s="436"/>
      <c r="C157" s="415"/>
      <c r="D157" s="155">
        <f t="shared" si="29"/>
        <v>0</v>
      </c>
      <c r="E157" s="155">
        <f t="shared" si="29"/>
        <v>0</v>
      </c>
      <c r="F157" s="155">
        <f t="shared" si="29"/>
        <v>0</v>
      </c>
      <c r="G157" s="155">
        <f t="shared" si="29"/>
        <v>0</v>
      </c>
      <c r="H157" s="155">
        <f t="shared" si="29"/>
        <v>0</v>
      </c>
      <c r="I157" s="155">
        <f t="shared" si="29"/>
        <v>0</v>
      </c>
      <c r="J157" s="155">
        <f t="shared" si="29"/>
        <v>0</v>
      </c>
    </row>
    <row r="158" spans="1:28" hidden="1">
      <c r="A158" s="412" t="str">
        <f t="shared" si="24"/>
        <v>Chilli</v>
      </c>
      <c r="B158" s="436"/>
      <c r="C158" s="415"/>
      <c r="D158" s="155">
        <f t="shared" si="29"/>
        <v>0</v>
      </c>
      <c r="E158" s="155">
        <f t="shared" si="29"/>
        <v>0</v>
      </c>
      <c r="F158" s="155">
        <f t="shared" si="29"/>
        <v>0</v>
      </c>
      <c r="G158" s="155">
        <f t="shared" si="29"/>
        <v>0</v>
      </c>
      <c r="H158" s="155">
        <f t="shared" si="29"/>
        <v>0</v>
      </c>
      <c r="I158" s="155">
        <f t="shared" si="29"/>
        <v>0</v>
      </c>
      <c r="J158" s="155">
        <f t="shared" si="29"/>
        <v>0</v>
      </c>
    </row>
    <row r="159" spans="1:28" hidden="1">
      <c r="A159" s="412" t="str">
        <f t="shared" si="24"/>
        <v>Brinjal</v>
      </c>
      <c r="B159" s="436"/>
      <c r="C159" s="415"/>
      <c r="D159" s="155">
        <f t="shared" si="29"/>
        <v>0</v>
      </c>
      <c r="E159" s="155">
        <f t="shared" si="29"/>
        <v>0</v>
      </c>
      <c r="F159" s="155">
        <f t="shared" si="29"/>
        <v>0</v>
      </c>
      <c r="G159" s="155">
        <f t="shared" si="29"/>
        <v>0</v>
      </c>
      <c r="H159" s="155">
        <f t="shared" si="29"/>
        <v>0</v>
      </c>
      <c r="I159" s="155">
        <f t="shared" si="29"/>
        <v>0</v>
      </c>
      <c r="J159" s="155">
        <f t="shared" si="29"/>
        <v>0</v>
      </c>
    </row>
    <row r="160" spans="1:28" hidden="1">
      <c r="A160" s="412" t="str">
        <f t="shared" si="24"/>
        <v>Ginger</v>
      </c>
      <c r="B160" s="436"/>
      <c r="C160" s="415"/>
      <c r="D160" s="155">
        <f t="shared" si="29"/>
        <v>0</v>
      </c>
      <c r="E160" s="155">
        <f t="shared" si="29"/>
        <v>0</v>
      </c>
      <c r="F160" s="155">
        <f t="shared" si="29"/>
        <v>0</v>
      </c>
      <c r="G160" s="155">
        <f t="shared" si="29"/>
        <v>0</v>
      </c>
      <c r="H160" s="155">
        <f t="shared" si="29"/>
        <v>0</v>
      </c>
      <c r="I160" s="155">
        <f t="shared" si="29"/>
        <v>0</v>
      </c>
      <c r="J160" s="155">
        <f t="shared" si="29"/>
        <v>0</v>
      </c>
    </row>
    <row r="161" spans="1:27" hidden="1">
      <c r="A161" s="412">
        <f t="shared" si="24"/>
        <v>0</v>
      </c>
      <c r="B161" s="436"/>
      <c r="C161" s="415"/>
      <c r="D161" s="155">
        <f t="shared" si="29"/>
        <v>0</v>
      </c>
      <c r="E161" s="155">
        <f t="shared" si="29"/>
        <v>0</v>
      </c>
      <c r="F161" s="155">
        <f t="shared" si="29"/>
        <v>0</v>
      </c>
      <c r="G161" s="155">
        <f t="shared" si="29"/>
        <v>0</v>
      </c>
      <c r="H161" s="155">
        <f t="shared" si="29"/>
        <v>0</v>
      </c>
      <c r="I161" s="155">
        <f t="shared" si="29"/>
        <v>0</v>
      </c>
      <c r="J161" s="155">
        <f t="shared" si="29"/>
        <v>0</v>
      </c>
    </row>
    <row r="162" spans="1:27" hidden="1">
      <c r="A162" s="412">
        <f t="shared" si="24"/>
        <v>0</v>
      </c>
      <c r="B162" s="436"/>
      <c r="C162" s="415"/>
      <c r="D162" s="155">
        <f t="shared" si="29"/>
        <v>0</v>
      </c>
      <c r="E162" s="155">
        <f t="shared" si="29"/>
        <v>0</v>
      </c>
      <c r="F162" s="155">
        <f t="shared" si="29"/>
        <v>0</v>
      </c>
      <c r="G162" s="155">
        <f t="shared" si="29"/>
        <v>0</v>
      </c>
      <c r="H162" s="155">
        <f t="shared" si="29"/>
        <v>0</v>
      </c>
      <c r="I162" s="155">
        <f t="shared" si="29"/>
        <v>0</v>
      </c>
      <c r="J162" s="155">
        <f t="shared" si="29"/>
        <v>0</v>
      </c>
    </row>
    <row r="163" spans="1:27" hidden="1">
      <c r="A163" s="412" t="str">
        <f t="shared" si="24"/>
        <v>Spinach</v>
      </c>
      <c r="B163" s="436"/>
      <c r="C163" s="415"/>
      <c r="D163" s="155">
        <f t="shared" si="29"/>
        <v>0</v>
      </c>
      <c r="E163" s="155">
        <f t="shared" si="29"/>
        <v>0</v>
      </c>
      <c r="F163" s="155">
        <f t="shared" si="29"/>
        <v>0</v>
      </c>
      <c r="G163" s="155">
        <f t="shared" si="29"/>
        <v>0</v>
      </c>
      <c r="H163" s="155">
        <f t="shared" si="29"/>
        <v>0</v>
      </c>
      <c r="I163" s="155">
        <f t="shared" si="29"/>
        <v>0</v>
      </c>
      <c r="J163" s="155">
        <f t="shared" si="29"/>
        <v>0</v>
      </c>
    </row>
    <row r="164" spans="1:27" hidden="1">
      <c r="A164" s="412" t="str">
        <f t="shared" si="24"/>
        <v>Fenugreek</v>
      </c>
      <c r="B164" s="436"/>
      <c r="C164" s="415"/>
      <c r="D164" s="155">
        <f t="shared" ref="D164:J164" si="31">D111-(D111*$G$7)</f>
        <v>0</v>
      </c>
      <c r="E164" s="155">
        <f t="shared" si="31"/>
        <v>0</v>
      </c>
      <c r="F164" s="155">
        <f t="shared" si="31"/>
        <v>0</v>
      </c>
      <c r="G164" s="155">
        <f t="shared" si="31"/>
        <v>0</v>
      </c>
      <c r="H164" s="155">
        <f t="shared" si="31"/>
        <v>0</v>
      </c>
      <c r="I164" s="155">
        <f t="shared" si="31"/>
        <v>0</v>
      </c>
      <c r="J164" s="155">
        <f t="shared" si="31"/>
        <v>0</v>
      </c>
    </row>
    <row r="165" spans="1:27" hidden="1">
      <c r="A165" s="412" t="str">
        <f t="shared" si="24"/>
        <v>coriander</v>
      </c>
      <c r="B165" s="436"/>
      <c r="C165" s="415"/>
      <c r="D165" s="155">
        <f t="shared" ref="D165:J165" si="32">D112-(D112*$G$7)</f>
        <v>0</v>
      </c>
      <c r="E165" s="155">
        <f t="shared" si="32"/>
        <v>0</v>
      </c>
      <c r="F165" s="155">
        <f t="shared" si="32"/>
        <v>0</v>
      </c>
      <c r="G165" s="155">
        <f t="shared" si="32"/>
        <v>0</v>
      </c>
      <c r="H165" s="155">
        <f t="shared" si="32"/>
        <v>0</v>
      </c>
      <c r="I165" s="155">
        <f t="shared" si="32"/>
        <v>0</v>
      </c>
      <c r="J165" s="155">
        <f t="shared" si="32"/>
        <v>0</v>
      </c>
    </row>
    <row r="166" spans="1:27" hidden="1">
      <c r="A166" s="412" t="str">
        <f t="shared" si="24"/>
        <v>Shepu</v>
      </c>
      <c r="B166" s="436"/>
      <c r="C166" s="415"/>
      <c r="D166" s="155">
        <f t="shared" ref="D166:J170" si="33">D113-(D113*$G$7)</f>
        <v>0</v>
      </c>
      <c r="E166" s="155">
        <f t="shared" si="33"/>
        <v>0</v>
      </c>
      <c r="F166" s="155">
        <f t="shared" si="33"/>
        <v>0</v>
      </c>
      <c r="G166" s="155">
        <f t="shared" si="33"/>
        <v>0</v>
      </c>
      <c r="H166" s="155">
        <f t="shared" si="33"/>
        <v>0</v>
      </c>
      <c r="I166" s="155">
        <f t="shared" si="33"/>
        <v>0</v>
      </c>
      <c r="J166" s="155">
        <f t="shared" si="33"/>
        <v>0</v>
      </c>
      <c r="S166" s="556">
        <f>+S155*S156</f>
        <v>12</v>
      </c>
      <c r="T166" s="556">
        <f t="shared" ref="T166:Y166" si="34">+T155*T156</f>
        <v>13</v>
      </c>
      <c r="U166" s="556">
        <f t="shared" si="34"/>
        <v>14.000000000000002</v>
      </c>
      <c r="V166" s="556">
        <f t="shared" si="34"/>
        <v>15.000000000000002</v>
      </c>
      <c r="W166" s="556">
        <f t="shared" si="34"/>
        <v>16.000000000000004</v>
      </c>
      <c r="X166" s="556">
        <f t="shared" si="34"/>
        <v>17.000000000000004</v>
      </c>
      <c r="Y166" s="556">
        <f t="shared" si="34"/>
        <v>18.000000000000004</v>
      </c>
    </row>
    <row r="167" spans="1:27" hidden="1">
      <c r="A167" s="412" t="str">
        <f t="shared" si="24"/>
        <v>Pomegranate</v>
      </c>
      <c r="B167" s="436"/>
      <c r="C167" s="415"/>
      <c r="D167" s="155">
        <f t="shared" si="33"/>
        <v>0</v>
      </c>
      <c r="E167" s="155">
        <f t="shared" si="33"/>
        <v>0</v>
      </c>
      <c r="F167" s="155">
        <f t="shared" si="33"/>
        <v>0</v>
      </c>
      <c r="G167" s="155">
        <f t="shared" si="33"/>
        <v>0</v>
      </c>
      <c r="H167" s="155">
        <f t="shared" si="33"/>
        <v>0</v>
      </c>
      <c r="I167" s="155">
        <f t="shared" si="33"/>
        <v>0</v>
      </c>
      <c r="J167" s="155">
        <f t="shared" si="33"/>
        <v>0</v>
      </c>
    </row>
    <row r="168" spans="1:27" hidden="1">
      <c r="A168" s="412" t="str">
        <f t="shared" si="24"/>
        <v>Banana</v>
      </c>
      <c r="B168" s="436"/>
      <c r="C168" s="415"/>
      <c r="D168" s="155">
        <f t="shared" si="33"/>
        <v>0</v>
      </c>
      <c r="E168" s="155">
        <f t="shared" si="33"/>
        <v>0</v>
      </c>
      <c r="F168" s="155">
        <f t="shared" si="33"/>
        <v>0</v>
      </c>
      <c r="G168" s="155">
        <f t="shared" si="33"/>
        <v>0</v>
      </c>
      <c r="H168" s="155">
        <f t="shared" si="33"/>
        <v>0</v>
      </c>
      <c r="I168" s="155">
        <f t="shared" si="33"/>
        <v>0</v>
      </c>
      <c r="J168" s="155">
        <f t="shared" si="33"/>
        <v>0</v>
      </c>
    </row>
    <row r="169" spans="1:27" hidden="1">
      <c r="A169" s="412" t="str">
        <f t="shared" si="24"/>
        <v>Graps</v>
      </c>
      <c r="B169" s="436"/>
      <c r="C169" s="415"/>
      <c r="D169" s="155">
        <f t="shared" si="33"/>
        <v>0</v>
      </c>
      <c r="E169" s="155">
        <f t="shared" si="33"/>
        <v>0</v>
      </c>
      <c r="F169" s="155">
        <f t="shared" si="33"/>
        <v>0</v>
      </c>
      <c r="G169" s="155">
        <f t="shared" si="33"/>
        <v>0</v>
      </c>
      <c r="H169" s="155">
        <f t="shared" si="33"/>
        <v>0</v>
      </c>
      <c r="I169" s="155">
        <f t="shared" si="33"/>
        <v>0</v>
      </c>
      <c r="J169" s="155">
        <f t="shared" si="33"/>
        <v>0</v>
      </c>
    </row>
    <row r="170" spans="1:27" hidden="1">
      <c r="A170" s="412" t="str">
        <f t="shared" si="24"/>
        <v>Citrus</v>
      </c>
      <c r="B170" s="436"/>
      <c r="C170" s="415"/>
      <c r="D170" s="155">
        <f t="shared" si="33"/>
        <v>0</v>
      </c>
      <c r="E170" s="155">
        <f t="shared" si="33"/>
        <v>0</v>
      </c>
      <c r="F170" s="155">
        <f t="shared" si="33"/>
        <v>0</v>
      </c>
      <c r="G170" s="155">
        <f t="shared" si="33"/>
        <v>0</v>
      </c>
      <c r="H170" s="155">
        <f t="shared" si="33"/>
        <v>0</v>
      </c>
      <c r="I170" s="155">
        <f t="shared" si="33"/>
        <v>0</v>
      </c>
      <c r="J170" s="155">
        <f t="shared" si="33"/>
        <v>0</v>
      </c>
    </row>
    <row r="171" spans="1:27">
      <c r="A171" s="68"/>
    </row>
    <row r="172" spans="1:27" ht="18.75">
      <c r="A172" s="724" t="s">
        <v>2102</v>
      </c>
      <c r="B172" s="724"/>
      <c r="C172" s="724"/>
      <c r="D172" s="724"/>
      <c r="E172" s="724"/>
      <c r="F172" s="724"/>
      <c r="G172" s="724"/>
      <c r="H172" s="724"/>
      <c r="I172" s="724"/>
      <c r="J172" s="724"/>
    </row>
    <row r="173" spans="1:27">
      <c r="A173" s="11"/>
      <c r="B173" s="11"/>
      <c r="C173" s="11"/>
      <c r="D173" s="11"/>
      <c r="E173" s="11"/>
      <c r="F173" s="11"/>
      <c r="G173" s="11"/>
      <c r="H173" s="11"/>
    </row>
    <row r="174" spans="1:27">
      <c r="A174" s="156"/>
      <c r="B174" s="156"/>
      <c r="C174" s="156"/>
      <c r="D174" s="157">
        <v>1</v>
      </c>
      <c r="E174" s="158">
        <f t="shared" ref="E174:J174" si="35">(D174*5%)+D174</f>
        <v>1.05</v>
      </c>
      <c r="F174" s="158">
        <f t="shared" si="35"/>
        <v>1.1025</v>
      </c>
      <c r="G174" s="158">
        <f t="shared" si="35"/>
        <v>1.1576250000000001</v>
      </c>
      <c r="H174" s="158">
        <f t="shared" si="35"/>
        <v>1.2155062500000002</v>
      </c>
      <c r="I174" s="158">
        <f t="shared" si="35"/>
        <v>1.2762815625000004</v>
      </c>
      <c r="J174" s="158">
        <f t="shared" si="35"/>
        <v>1.3400956406250004</v>
      </c>
      <c r="K174" s="68"/>
      <c r="L174" s="68"/>
      <c r="M174" s="68"/>
      <c r="N174" s="68"/>
      <c r="O174" s="68"/>
      <c r="P174" s="68"/>
      <c r="Q174" s="68"/>
      <c r="R174" s="68"/>
      <c r="S174" s="68"/>
      <c r="T174" s="68"/>
      <c r="U174" s="68"/>
      <c r="V174" s="68"/>
      <c r="W174" s="68"/>
      <c r="X174" s="68"/>
      <c r="Y174" s="68"/>
      <c r="Z174" s="68"/>
      <c r="AA174" s="68"/>
    </row>
    <row r="175" spans="1:27" hidden="1">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row>
    <row r="176" spans="1:27" hidden="1">
      <c r="A176" s="68"/>
      <c r="B176" s="68"/>
      <c r="C176" s="68"/>
      <c r="D176" s="148"/>
      <c r="E176" s="148"/>
      <c r="F176" s="148"/>
      <c r="G176" s="148"/>
      <c r="H176" s="148"/>
      <c r="I176" s="148"/>
      <c r="J176" s="148"/>
      <c r="K176" s="68"/>
      <c r="L176" s="68"/>
      <c r="M176" s="68"/>
      <c r="N176" s="68"/>
      <c r="O176" s="68"/>
      <c r="P176" s="68"/>
      <c r="Q176" s="68"/>
      <c r="R176" s="68"/>
      <c r="S176" s="68"/>
    </row>
    <row r="177" spans="1:19">
      <c r="A177" s="59" t="s">
        <v>0</v>
      </c>
      <c r="B177" s="59"/>
      <c r="C177" s="59" t="s">
        <v>153</v>
      </c>
      <c r="D177" s="60" t="s">
        <v>2</v>
      </c>
      <c r="E177" s="60" t="s">
        <v>3</v>
      </c>
      <c r="F177" s="60" t="s">
        <v>4</v>
      </c>
      <c r="G177" s="60" t="s">
        <v>5</v>
      </c>
      <c r="H177" s="60" t="s">
        <v>6</v>
      </c>
      <c r="I177" s="60" t="s">
        <v>170</v>
      </c>
      <c r="J177" s="60" t="s">
        <v>169</v>
      </c>
      <c r="K177" s="68"/>
      <c r="L177" s="68"/>
      <c r="M177" s="68"/>
      <c r="N177" s="68"/>
      <c r="O177" s="68"/>
      <c r="P177" s="68"/>
      <c r="Q177" s="68"/>
      <c r="R177" s="68"/>
      <c r="S177" s="68"/>
    </row>
    <row r="178" spans="1:19">
      <c r="A178" s="71"/>
      <c r="B178" s="71"/>
      <c r="C178" s="71"/>
      <c r="D178" s="69"/>
      <c r="E178" s="69"/>
      <c r="F178" s="69"/>
      <c r="G178" s="69"/>
      <c r="H178" s="69"/>
      <c r="I178" s="69"/>
      <c r="J178" s="69"/>
      <c r="K178" s="68"/>
      <c r="L178" s="68"/>
      <c r="M178" s="68"/>
      <c r="N178" s="68"/>
      <c r="O178" s="68"/>
      <c r="P178" s="68"/>
      <c r="Q178" s="68"/>
      <c r="R178" s="68"/>
      <c r="S178" s="68"/>
    </row>
    <row r="179" spans="1:19">
      <c r="A179" s="71" t="s">
        <v>126</v>
      </c>
      <c r="B179" s="71"/>
      <c r="C179" s="580"/>
      <c r="D179" s="161"/>
      <c r="E179" s="69"/>
      <c r="F179" s="69"/>
      <c r="G179" s="69"/>
      <c r="H179" s="69"/>
      <c r="I179" s="69"/>
      <c r="J179" s="69"/>
      <c r="K179" s="68"/>
      <c r="L179" s="161"/>
      <c r="M179" s="68"/>
      <c r="N179" s="68"/>
      <c r="O179" s="68"/>
      <c r="P179" s="68"/>
      <c r="Q179" s="68"/>
      <c r="R179" s="68"/>
      <c r="S179" s="68"/>
    </row>
    <row r="180" spans="1:19">
      <c r="A180" s="69" t="str">
        <f>A122</f>
        <v>Besan</v>
      </c>
      <c r="B180" s="69" t="s">
        <v>2020</v>
      </c>
      <c r="C180" s="580">
        <f>25*90</f>
        <v>2250</v>
      </c>
      <c r="D180" s="161">
        <f>(((D123*100)/25)*(1-'5.Closing Stock &amp; W Capital'!$D$16))*C$180*D174</f>
        <v>4707482.6578499991</v>
      </c>
      <c r="E180" s="161">
        <f>((((E123*100)*(1-'5.Closing Stock &amp; W Capital'!$D$16))+((D123*100)*'5.Closing Stock &amp; W Capital'!$D$16))/25)*$C180*E$174</f>
        <v>5153578.5802425742</v>
      </c>
      <c r="F180" s="161">
        <f>((((F123*100)*(1-'5.Closing Stock &amp; W Capital'!$D$16))+((E123*100)*'5.Closing Stock &amp; W Capital'!$D$16))/25)*$C180*F$174</f>
        <v>5875625.8972270899</v>
      </c>
      <c r="G180" s="161">
        <f>((((G123*100)*(1-'5.Closing Stock &amp; W Capital'!$D$16))+((F123*100)*'5.Closing Stock &amp; W Capital'!$D$16))/25)*$C180*G$174</f>
        <v>6685675.5763636306</v>
      </c>
      <c r="H180" s="161">
        <f>((((H123*100)*(1-'5.Closing Stock &amp; W Capital'!$D$16))+((G123*100)*'5.Closing Stock &amp; W Capital'!$D$16))/25)*$C180*H$174</f>
        <v>7562041.1586707579</v>
      </c>
      <c r="I180" s="161">
        <f>((((I123*100)*(1-'5.Closing Stock &amp; W Capital'!$D$16))+((H123*100)*'5.Closing Stock &amp; W Capital'!$D$16))/25)*$C180*I$174</f>
        <v>8509329.1102676839</v>
      </c>
      <c r="J180" s="161">
        <f>((((J123*100)*(1-'5.Closing Stock &amp; W Capital'!$D$16))+((I123*100)*'5.Closing Stock &amp; W Capital'!$D$16))/25)*$C180*J$174</f>
        <v>9532440.7541276291</v>
      </c>
      <c r="K180" s="68"/>
      <c r="L180" s="68"/>
      <c r="M180" s="68"/>
      <c r="N180" s="68"/>
      <c r="O180" s="68"/>
      <c r="P180" s="68"/>
      <c r="Q180" s="68"/>
      <c r="R180" s="68"/>
      <c r="S180" s="68">
        <f>+C226*110%</f>
        <v>5500</v>
      </c>
    </row>
    <row r="181" spans="1:19" hidden="1">
      <c r="A181" s="69" t="str">
        <f>A126</f>
        <v>Maize</v>
      </c>
      <c r="B181" s="69" t="s">
        <v>365</v>
      </c>
      <c r="C181" s="580">
        <v>1800</v>
      </c>
      <c r="D181" s="161">
        <f>((D126+D134)*(1-'5.Closing Stock &amp; W Capital'!$D$16))*$C181*D$174</f>
        <v>0</v>
      </c>
      <c r="E181" s="161">
        <f>(((E126+E134)*(1-'5.Closing Stock &amp; W Capital'!$D$16))+((D126+D134)*'5.Closing Stock &amp; W Capital'!$D$16))*$C181*E$174</f>
        <v>0</v>
      </c>
      <c r="F181" s="161">
        <f>(((F126+F134)*(1-'5.Closing Stock &amp; W Capital'!$D$16))+((E126+E134)*'5.Closing Stock &amp; W Capital'!$D$16))*$C181*F$174</f>
        <v>0</v>
      </c>
      <c r="G181" s="161">
        <f>(((G126+G134)*(1-'5.Closing Stock &amp; W Capital'!$D$16))+((F126+F134)*'5.Closing Stock &amp; W Capital'!$D$16))*$C181*G$174</f>
        <v>0</v>
      </c>
      <c r="H181" s="161">
        <f>(((H126+H134)*(1-'5.Closing Stock &amp; W Capital'!$D$16))+((G126+G134)*'5.Closing Stock &amp; W Capital'!$D$16))*$C181*H$174</f>
        <v>0</v>
      </c>
      <c r="I181" s="161">
        <f>(((I126+I134)*(1-'5.Closing Stock &amp; W Capital'!$D$16))+((H126+H134)*'5.Closing Stock &amp; W Capital'!$D$16))*$C181*I$174</f>
        <v>0</v>
      </c>
      <c r="J181" s="161">
        <f>(((J126+J134)*(1-'5.Closing Stock &amp; W Capital'!$D$16))+((I126+I134)*'5.Closing Stock &amp; W Capital'!$D$16))*$C181*J$174</f>
        <v>0</v>
      </c>
      <c r="K181" s="68"/>
      <c r="L181" s="68"/>
      <c r="M181" s="68"/>
      <c r="N181" s="68"/>
      <c r="O181" s="68"/>
      <c r="P181" s="68"/>
      <c r="Q181" s="68"/>
      <c r="R181" s="68"/>
      <c r="S181" s="68" t="e">
        <f>+#REF!*110%</f>
        <v>#REF!</v>
      </c>
    </row>
    <row r="182" spans="1:19" hidden="1">
      <c r="A182" s="69" t="str">
        <f t="shared" ref="A182:A190" si="36">A134</f>
        <v>Maize</v>
      </c>
      <c r="B182" s="69" t="s">
        <v>365</v>
      </c>
      <c r="C182" s="580">
        <v>1540</v>
      </c>
      <c r="D182" s="161">
        <f>(D134*(1-'5.Closing Stock &amp; W Capital'!$D$16))*$C182*D$174</f>
        <v>0</v>
      </c>
      <c r="E182" s="161">
        <f>((E134*(1-'5.Closing Stock &amp; W Capital'!$D$16))+(D134*'5.Closing Stock &amp; W Capital'!$D$16))*$C182*E$174</f>
        <v>0</v>
      </c>
      <c r="F182" s="161">
        <f>((F134*(1-'5.Closing Stock &amp; W Capital'!$D$16))+(E134*'5.Closing Stock &amp; W Capital'!$D$16))*$C182*F$174</f>
        <v>0</v>
      </c>
      <c r="G182" s="161">
        <f>((G134*(1-'5.Closing Stock &amp; W Capital'!$D$16))+(F134*'5.Closing Stock &amp; W Capital'!$D$16))*$C182*G$174</f>
        <v>0</v>
      </c>
      <c r="H182" s="161">
        <f>((H134*(1-'5.Closing Stock &amp; W Capital'!$D$16))+(G134*'5.Closing Stock &amp; W Capital'!$D$16))*$C182*H$174</f>
        <v>0</v>
      </c>
      <c r="I182" s="161">
        <f>((I134*(1-'5.Closing Stock &amp; W Capital'!$D$16))+(H134*'5.Closing Stock &amp; W Capital'!$D$16))*$C182*I$174</f>
        <v>0</v>
      </c>
      <c r="J182" s="161">
        <f>((J134*(1-'5.Closing Stock &amp; W Capital'!$D$16))+(I134*'5.Closing Stock &amp; W Capital'!$D$16))*$C182*J$174</f>
        <v>0</v>
      </c>
      <c r="K182" s="68"/>
      <c r="L182" s="68"/>
      <c r="M182" s="68"/>
      <c r="N182" s="68"/>
      <c r="O182" s="68"/>
      <c r="P182" s="68"/>
      <c r="Q182" s="68"/>
      <c r="R182" s="68"/>
      <c r="S182" s="68">
        <f>+C227*110%</f>
        <v>1540.0000000000002</v>
      </c>
    </row>
    <row r="183" spans="1:19" hidden="1">
      <c r="A183" s="69" t="str">
        <f t="shared" si="36"/>
        <v>Safflower</v>
      </c>
      <c r="B183" s="69" t="s">
        <v>365</v>
      </c>
      <c r="C183" s="580"/>
      <c r="D183" s="161">
        <f>(D135*(1-'5.Closing Stock &amp; W Capital'!$D$16))*$C183*D$174</f>
        <v>0</v>
      </c>
      <c r="E183" s="161">
        <f>((E135*(1-'5.Closing Stock &amp; W Capital'!$D$16))+(D135*'5.Closing Stock &amp; W Capital'!$D$16))*$C183*E$174</f>
        <v>0</v>
      </c>
      <c r="F183" s="161">
        <f>((F135*(1-'5.Closing Stock &amp; W Capital'!$D$16))+(E135*'5.Closing Stock &amp; W Capital'!$D$16))*$C183*F$174</f>
        <v>0</v>
      </c>
      <c r="G183" s="161">
        <f>((G135*(1-'5.Closing Stock &amp; W Capital'!$D$16))+(F135*'5.Closing Stock &amp; W Capital'!$D$16))*$C183*G$174</f>
        <v>0</v>
      </c>
      <c r="H183" s="161">
        <f>((H135*(1-'5.Closing Stock &amp; W Capital'!$D$16))+(G135*'5.Closing Stock &amp; W Capital'!$D$16))*$C183*H$174</f>
        <v>0</v>
      </c>
      <c r="I183" s="161">
        <f>((I135*(1-'5.Closing Stock &amp; W Capital'!$D$16))+(H135*'5.Closing Stock &amp; W Capital'!$D$16))*$C183*I$174</f>
        <v>0</v>
      </c>
      <c r="J183" s="161">
        <f>((J135*(1-'5.Closing Stock &amp; W Capital'!$D$16))+(I135*'5.Closing Stock &amp; W Capital'!$D$16))*$C183*J$174</f>
        <v>0</v>
      </c>
      <c r="K183" s="68"/>
      <c r="L183" s="68"/>
      <c r="M183" s="68"/>
      <c r="N183" s="68"/>
      <c r="O183" s="68"/>
      <c r="P183" s="68"/>
      <c r="Q183" s="68"/>
      <c r="R183" s="68"/>
      <c r="S183" s="68"/>
    </row>
    <row r="184" spans="1:19" hidden="1">
      <c r="A184" s="69">
        <f t="shared" si="36"/>
        <v>0</v>
      </c>
      <c r="B184" s="69" t="s">
        <v>365</v>
      </c>
      <c r="C184" s="580"/>
      <c r="D184" s="161">
        <f>(D136*(1-'5.Closing Stock &amp; W Capital'!$D$16))*$C184*D$174</f>
        <v>0</v>
      </c>
      <c r="E184" s="161">
        <f>((E136*(1-'5.Closing Stock &amp; W Capital'!$D$16))+(D136*'5.Closing Stock &amp; W Capital'!$D$16))*$C184*E$174</f>
        <v>0</v>
      </c>
      <c r="F184" s="161">
        <f>((F136*(1-'5.Closing Stock &amp; W Capital'!$D$16))+(E136*'5.Closing Stock &amp; W Capital'!$D$16))*$C184*F$174</f>
        <v>0</v>
      </c>
      <c r="G184" s="161">
        <f>((G136*(1-'5.Closing Stock &amp; W Capital'!$D$16))+(F136*'5.Closing Stock &amp; W Capital'!$D$16))*$C184*G$174</f>
        <v>0</v>
      </c>
      <c r="H184" s="161">
        <f>((H136*(1-'5.Closing Stock &amp; W Capital'!$D$16))+(G136*'5.Closing Stock &amp; W Capital'!$D$16))*$C184*H$174</f>
        <v>0</v>
      </c>
      <c r="I184" s="161">
        <f>((I136*(1-'5.Closing Stock &amp; W Capital'!$D$16))+(H136*'5.Closing Stock &amp; W Capital'!$D$16))*$C184*I$174</f>
        <v>0</v>
      </c>
      <c r="J184" s="161">
        <f>((J136*(1-'5.Closing Stock &amp; W Capital'!$D$16))+(I136*'5.Closing Stock &amp; W Capital'!$D$16))*$C184*J$174</f>
        <v>0</v>
      </c>
      <c r="K184" s="68"/>
      <c r="L184" s="68"/>
      <c r="M184" s="68"/>
      <c r="N184" s="68"/>
      <c r="O184" s="68"/>
      <c r="P184" s="68"/>
      <c r="Q184" s="68"/>
      <c r="R184" s="68"/>
      <c r="S184" s="68"/>
    </row>
    <row r="185" spans="1:19" hidden="1">
      <c r="A185" s="69">
        <f t="shared" si="36"/>
        <v>0</v>
      </c>
      <c r="B185" s="69" t="s">
        <v>365</v>
      </c>
      <c r="C185" s="580"/>
      <c r="D185" s="161">
        <f>(D137*(1-'5.Closing Stock &amp; W Capital'!$D$16))*$C185*D$174</f>
        <v>0</v>
      </c>
      <c r="E185" s="161">
        <f>((E137*(1-'5.Closing Stock &amp; W Capital'!$D$16))+(D137*'5.Closing Stock &amp; W Capital'!$D$16))*$C185*E$174</f>
        <v>0</v>
      </c>
      <c r="F185" s="161">
        <f>((F137*(1-'5.Closing Stock &amp; W Capital'!$D$16))+(E137*'5.Closing Stock &amp; W Capital'!$D$16))*$C185*F$174</f>
        <v>0</v>
      </c>
      <c r="G185" s="161">
        <f>((G137*(1-'5.Closing Stock &amp; W Capital'!$D$16))+(F137*'5.Closing Stock &amp; W Capital'!$D$16))*$C185*G$174</f>
        <v>0</v>
      </c>
      <c r="H185" s="161">
        <f>((H137*(1-'5.Closing Stock &amp; W Capital'!$D$16))+(G137*'5.Closing Stock &amp; W Capital'!$D$16))*$C185*H$174</f>
        <v>0</v>
      </c>
      <c r="I185" s="161">
        <f>((I137*(1-'5.Closing Stock &amp; W Capital'!$D$16))+(H137*'5.Closing Stock &amp; W Capital'!$D$16))*$C185*I$174</f>
        <v>0</v>
      </c>
      <c r="J185" s="161">
        <f>((J137*(1-'5.Closing Stock &amp; W Capital'!$D$16))+(I137*'5.Closing Stock &amp; W Capital'!$D$16))*$C185*J$174</f>
        <v>0</v>
      </c>
      <c r="K185" s="68"/>
      <c r="L185" s="68"/>
      <c r="M185" s="68"/>
      <c r="N185" s="68"/>
      <c r="O185" s="68"/>
      <c r="P185" s="68"/>
      <c r="Q185" s="68"/>
      <c r="R185" s="68"/>
      <c r="S185" s="68"/>
    </row>
    <row r="186" spans="1:19" hidden="1">
      <c r="A186" s="69">
        <f t="shared" si="36"/>
        <v>0</v>
      </c>
      <c r="B186" s="69" t="s">
        <v>365</v>
      </c>
      <c r="C186" s="580"/>
      <c r="D186" s="161">
        <f>(D138*(1-'5.Closing Stock &amp; W Capital'!$D$16))*$C186*D$174</f>
        <v>0</v>
      </c>
      <c r="E186" s="161">
        <f>((E138*(1-'5.Closing Stock &amp; W Capital'!$D$16))+(D138*'5.Closing Stock &amp; W Capital'!$D$16))*$C186*E$174</f>
        <v>0</v>
      </c>
      <c r="F186" s="161">
        <f>((F138*(1-'5.Closing Stock &amp; W Capital'!$D$16))+(E138*'5.Closing Stock &amp; W Capital'!$D$16))*$C186*F$174</f>
        <v>0</v>
      </c>
      <c r="G186" s="161">
        <f>((G138*(1-'5.Closing Stock &amp; W Capital'!$D$16))+(F138*'5.Closing Stock &amp; W Capital'!$D$16))*$C186*G$174</f>
        <v>0</v>
      </c>
      <c r="H186" s="161">
        <f>((H138*(1-'5.Closing Stock &amp; W Capital'!$D$16))+(G138*'5.Closing Stock &amp; W Capital'!$D$16))*$C186*H$174</f>
        <v>0</v>
      </c>
      <c r="I186" s="161">
        <f>((I138*(1-'5.Closing Stock &amp; W Capital'!$D$16))+(H138*'5.Closing Stock &amp; W Capital'!$D$16))*$C186*I$174</f>
        <v>0</v>
      </c>
      <c r="J186" s="161">
        <f>((J138*(1-'5.Closing Stock &amp; W Capital'!$D$16))+(I138*'5.Closing Stock &amp; W Capital'!$D$16))*$C186*J$174</f>
        <v>0</v>
      </c>
      <c r="K186" s="68"/>
      <c r="L186" s="68"/>
      <c r="M186" s="68"/>
      <c r="N186" s="68"/>
      <c r="O186" s="68"/>
      <c r="P186" s="68"/>
      <c r="Q186" s="68"/>
      <c r="R186" s="68"/>
      <c r="S186" s="68"/>
    </row>
    <row r="187" spans="1:19" hidden="1">
      <c r="A187" s="69" t="str">
        <f t="shared" si="36"/>
        <v>Groundnut</v>
      </c>
      <c r="B187" s="69" t="s">
        <v>365</v>
      </c>
      <c r="C187" s="580"/>
      <c r="D187" s="161">
        <f>(D139*(1-'5.Closing Stock &amp; W Capital'!$D$16))*$C187*D$174</f>
        <v>0</v>
      </c>
      <c r="E187" s="161">
        <f>((E139*(1-'5.Closing Stock &amp; W Capital'!$D$16))+(D139*'5.Closing Stock &amp; W Capital'!$D$16))*$C187*E$174</f>
        <v>0</v>
      </c>
      <c r="F187" s="161">
        <f>((F139*(1-'5.Closing Stock &amp; W Capital'!$D$16))+(E139*'5.Closing Stock &amp; W Capital'!$D$16))*$C187*F$174</f>
        <v>0</v>
      </c>
      <c r="G187" s="161">
        <f>((G139*(1-'5.Closing Stock &amp; W Capital'!$D$16))+(F139*'5.Closing Stock &amp; W Capital'!$D$16))*$C187*G$174</f>
        <v>0</v>
      </c>
      <c r="H187" s="161">
        <f>((H139*(1-'5.Closing Stock &amp; W Capital'!$D$16))+(G139*'5.Closing Stock &amp; W Capital'!$D$16))*$C187*H$174</f>
        <v>0</v>
      </c>
      <c r="I187" s="161">
        <f>((I139*(1-'5.Closing Stock &amp; W Capital'!$D$16))+(H139*'5.Closing Stock &amp; W Capital'!$D$16))*$C187*I$174</f>
        <v>0</v>
      </c>
      <c r="J187" s="161">
        <f>((J139*(1-'5.Closing Stock &amp; W Capital'!$D$16))+(I139*'5.Closing Stock &amp; W Capital'!$D$16))*$C187*J$174</f>
        <v>0</v>
      </c>
      <c r="K187" s="68"/>
      <c r="L187" s="68"/>
      <c r="M187" s="68"/>
      <c r="N187" s="68"/>
      <c r="O187" s="68"/>
      <c r="P187" s="68"/>
      <c r="Q187" s="68"/>
      <c r="R187" s="68"/>
      <c r="S187" s="68"/>
    </row>
    <row r="188" spans="1:19" hidden="1">
      <c r="A188" s="69">
        <f t="shared" si="36"/>
        <v>0</v>
      </c>
      <c r="B188" s="69" t="s">
        <v>365</v>
      </c>
      <c r="C188" s="580"/>
      <c r="D188" s="161">
        <f>(D140*(1-'5.Closing Stock &amp; W Capital'!$D$16))*$C188*D$174</f>
        <v>0</v>
      </c>
      <c r="E188" s="161">
        <f>((E140*(1-'5.Closing Stock &amp; W Capital'!$D$16))+(D140*'5.Closing Stock &amp; W Capital'!$D$16))*$C188*E$174</f>
        <v>0</v>
      </c>
      <c r="F188" s="161">
        <f>((F140*(1-'5.Closing Stock &amp; W Capital'!$D$16))+(E140*'5.Closing Stock &amp; W Capital'!$D$16))*$C188*F$174</f>
        <v>0</v>
      </c>
      <c r="G188" s="161">
        <f>((G140*(1-'5.Closing Stock &amp; W Capital'!$D$16))+(F140*'5.Closing Stock &amp; W Capital'!$D$16))*$C188*G$174</f>
        <v>0</v>
      </c>
      <c r="H188" s="161">
        <f>((H140*(1-'5.Closing Stock &amp; W Capital'!$D$16))+(G140*'5.Closing Stock &amp; W Capital'!$D$16))*$C188*H$174</f>
        <v>0</v>
      </c>
      <c r="I188" s="161">
        <f>((I140*(1-'5.Closing Stock &amp; W Capital'!$D$16))+(H140*'5.Closing Stock &amp; W Capital'!$D$16))*$C188*I$174</f>
        <v>0</v>
      </c>
      <c r="J188" s="161">
        <f>((J140*(1-'5.Closing Stock &amp; W Capital'!$D$16))+(I140*'5.Closing Stock &amp; W Capital'!$D$16))*$C188*J$174</f>
        <v>0</v>
      </c>
      <c r="K188" s="68"/>
      <c r="L188" s="68"/>
      <c r="M188" s="68"/>
      <c r="N188" s="68"/>
      <c r="O188" s="68"/>
      <c r="P188" s="68"/>
      <c r="Q188" s="68"/>
      <c r="R188" s="68"/>
      <c r="S188" s="68"/>
    </row>
    <row r="189" spans="1:19" hidden="1">
      <c r="A189" s="69">
        <f t="shared" si="36"/>
        <v>0</v>
      </c>
      <c r="B189" s="69" t="s">
        <v>365</v>
      </c>
      <c r="C189" s="580"/>
      <c r="D189" s="161">
        <f>(D141*(1-'5.Closing Stock &amp; W Capital'!$D$16))*$C189*D$174</f>
        <v>0</v>
      </c>
      <c r="E189" s="161">
        <f>((E141*(1-'5.Closing Stock &amp; W Capital'!$D$16))+(D141*'5.Closing Stock &amp; W Capital'!$D$16))*$C189*E$174</f>
        <v>0</v>
      </c>
      <c r="F189" s="161">
        <f>((F141*(1-'5.Closing Stock &amp; W Capital'!$D$16))+(E141*'5.Closing Stock &amp; W Capital'!$D$16))*$C189*F$174</f>
        <v>0</v>
      </c>
      <c r="G189" s="161">
        <f>((G141*(1-'5.Closing Stock &amp; W Capital'!$D$16))+(F141*'5.Closing Stock &amp; W Capital'!$D$16))*$C189*G$174</f>
        <v>0</v>
      </c>
      <c r="H189" s="161">
        <f>((H141*(1-'5.Closing Stock &amp; W Capital'!$D$16))+(G141*'5.Closing Stock &amp; W Capital'!$D$16))*$C189*H$174</f>
        <v>0</v>
      </c>
      <c r="I189" s="161">
        <f>((I141*(1-'5.Closing Stock &amp; W Capital'!$D$16))+(H141*'5.Closing Stock &amp; W Capital'!$D$16))*$C189*I$174</f>
        <v>0</v>
      </c>
      <c r="J189" s="161">
        <f>((J141*(1-'5.Closing Stock &amp; W Capital'!$D$16))+(I141*'5.Closing Stock &amp; W Capital'!$D$16))*$C189*J$174</f>
        <v>0</v>
      </c>
      <c r="K189" s="68"/>
      <c r="L189" s="68"/>
      <c r="M189" s="68"/>
      <c r="N189" s="68"/>
      <c r="O189" s="68"/>
      <c r="P189" s="68"/>
      <c r="Q189" s="68"/>
      <c r="R189" s="68"/>
      <c r="S189" s="68"/>
    </row>
    <row r="190" spans="1:19" hidden="1">
      <c r="A190" s="69">
        <f t="shared" si="36"/>
        <v>0</v>
      </c>
      <c r="B190" s="69" t="s">
        <v>365</v>
      </c>
      <c r="C190" s="580"/>
      <c r="D190" s="161">
        <f>(D142*(1-'5.Closing Stock &amp; W Capital'!$D$16))*$C190*D$174</f>
        <v>0</v>
      </c>
      <c r="E190" s="161">
        <f>((E142*(1-'5.Closing Stock &amp; W Capital'!$D$16))+(D142*'5.Closing Stock &amp; W Capital'!$D$16))*$C190*E$174</f>
        <v>0</v>
      </c>
      <c r="F190" s="161">
        <f>((F142*(1-'5.Closing Stock &amp; W Capital'!$D$16))+(E142*'5.Closing Stock &amp; W Capital'!$D$16))*$C190*F$174</f>
        <v>0</v>
      </c>
      <c r="G190" s="161">
        <f>((G142*(1-'5.Closing Stock &amp; W Capital'!$D$16))+(F142*'5.Closing Stock &amp; W Capital'!$D$16))*$C190*G$174</f>
        <v>0</v>
      </c>
      <c r="H190" s="161">
        <f>((H142*(1-'5.Closing Stock &amp; W Capital'!$D$16))+(G142*'5.Closing Stock &amp; W Capital'!$D$16))*$C190*H$174</f>
        <v>0</v>
      </c>
      <c r="I190" s="161">
        <f>((I142*(1-'5.Closing Stock &amp; W Capital'!$D$16))+(H142*'5.Closing Stock &amp; W Capital'!$D$16))*$C190*I$174</f>
        <v>0</v>
      </c>
      <c r="J190" s="161">
        <f>((J142*(1-'5.Closing Stock &amp; W Capital'!$D$16))+(I142*'5.Closing Stock &amp; W Capital'!$D$16))*$C190*J$174</f>
        <v>0</v>
      </c>
      <c r="K190" s="68"/>
      <c r="L190" s="68"/>
      <c r="M190" s="68"/>
      <c r="N190" s="68"/>
      <c r="O190" s="68"/>
      <c r="P190" s="68"/>
      <c r="Q190" s="68"/>
      <c r="R190" s="68"/>
      <c r="S190" s="68"/>
    </row>
    <row r="191" spans="1:19" hidden="1">
      <c r="A191" s="69"/>
      <c r="B191" s="69" t="s">
        <v>365</v>
      </c>
      <c r="C191" s="580"/>
      <c r="D191" s="161">
        <f>(D143*(1-'5.Closing Stock &amp; W Capital'!$D$16))*$C191*D$174</f>
        <v>0</v>
      </c>
      <c r="E191" s="161">
        <f>((E143*(1-'5.Closing Stock &amp; W Capital'!$D$16))+(D143*'5.Closing Stock &amp; W Capital'!$D$16))*$C191*E$174</f>
        <v>0</v>
      </c>
      <c r="F191" s="161">
        <f>((F143*(1-'5.Closing Stock &amp; W Capital'!$D$16))+(E143*'5.Closing Stock &amp; W Capital'!$D$16))*$C191*F$174</f>
        <v>0</v>
      </c>
      <c r="G191" s="161">
        <f>((G143*(1-'5.Closing Stock &amp; W Capital'!$D$16))+(F143*'5.Closing Stock &amp; W Capital'!$D$16))*$C191*G$174</f>
        <v>0</v>
      </c>
      <c r="H191" s="161">
        <f>((H143*(1-'5.Closing Stock &amp; W Capital'!$D$16))+(G143*'5.Closing Stock &amp; W Capital'!$D$16))*$C191*H$174</f>
        <v>0</v>
      </c>
      <c r="I191" s="161">
        <f>((I143*(1-'5.Closing Stock &amp; W Capital'!$D$16))+(H143*'5.Closing Stock &amp; W Capital'!$D$16))*$C191*I$174</f>
        <v>0</v>
      </c>
      <c r="J191" s="161">
        <f>((J143*(1-'5.Closing Stock &amp; W Capital'!$D$16))+(I143*'5.Closing Stock &amp; W Capital'!$D$16))*$C191*J$174</f>
        <v>0</v>
      </c>
      <c r="K191" s="68"/>
      <c r="L191" s="68"/>
      <c r="M191" s="68"/>
      <c r="N191" s="68"/>
      <c r="O191" s="68"/>
      <c r="P191" s="68"/>
      <c r="Q191" s="68"/>
      <c r="R191" s="68"/>
      <c r="S191" s="68"/>
    </row>
    <row r="192" spans="1:19">
      <c r="A192" s="71" t="s">
        <v>296</v>
      </c>
      <c r="B192" s="69" t="s">
        <v>365</v>
      </c>
      <c r="C192" s="580">
        <v>150</v>
      </c>
      <c r="D192" s="164">
        <f t="shared" ref="D192:J192" si="37">D66*$C$192*D174</f>
        <v>766274.9850000001</v>
      </c>
      <c r="E192" s="161">
        <f t="shared" si="37"/>
        <v>796542.84690750029</v>
      </c>
      <c r="F192" s="161">
        <f t="shared" si="37"/>
        <v>912403.62463950028</v>
      </c>
      <c r="G192" s="161">
        <f t="shared" si="37"/>
        <v>1037859.1230274319</v>
      </c>
      <c r="H192" s="161">
        <f t="shared" si="37"/>
        <v>1173579.1621925577</v>
      </c>
      <c r="I192" s="161">
        <f t="shared" si="37"/>
        <v>1320276.5574666273</v>
      </c>
      <c r="J192" s="161">
        <f t="shared" si="37"/>
        <v>1478709.7443626227</v>
      </c>
      <c r="K192" s="68"/>
      <c r="L192" s="68"/>
      <c r="M192" s="68"/>
      <c r="N192" s="68"/>
      <c r="O192" s="68"/>
      <c r="P192" s="68"/>
      <c r="Q192" s="68"/>
      <c r="R192" s="68"/>
      <c r="S192" s="166"/>
    </row>
    <row r="193" spans="1:19">
      <c r="A193" s="71"/>
      <c r="B193" s="71"/>
      <c r="C193" s="71"/>
      <c r="D193" s="69"/>
      <c r="E193" s="69"/>
      <c r="F193" s="69"/>
      <c r="G193" s="69"/>
      <c r="H193" s="69"/>
      <c r="I193" s="69"/>
      <c r="J193" s="69"/>
      <c r="K193" s="68"/>
      <c r="L193" s="68"/>
      <c r="M193" s="68"/>
      <c r="N193" s="68"/>
      <c r="O193" s="68"/>
      <c r="P193" s="68"/>
      <c r="Q193" s="68"/>
      <c r="R193" s="68"/>
      <c r="S193" s="83"/>
    </row>
    <row r="194" spans="1:19" ht="29.25" hidden="1">
      <c r="A194" s="160" t="str">
        <f t="shared" ref="A194:A219" si="38">A145</f>
        <v>Fruit  &amp; Vegetables Crop Production Details</v>
      </c>
      <c r="B194" s="71"/>
      <c r="C194" s="71"/>
      <c r="D194" s="69"/>
      <c r="E194" s="69"/>
      <c r="F194" s="69"/>
      <c r="G194" s="69"/>
      <c r="H194" s="69"/>
      <c r="I194" s="69"/>
      <c r="J194" s="69"/>
      <c r="K194" s="68"/>
      <c r="L194" s="68"/>
      <c r="M194" s="68"/>
      <c r="N194" s="68"/>
      <c r="O194" s="68"/>
      <c r="P194" s="68"/>
      <c r="Q194" s="68"/>
      <c r="R194" s="68"/>
      <c r="S194" s="83"/>
    </row>
    <row r="195" spans="1:19" hidden="1">
      <c r="A195" s="71" t="str">
        <f t="shared" si="38"/>
        <v>Exotic Vegitables</v>
      </c>
      <c r="B195" s="69" t="s">
        <v>365</v>
      </c>
      <c r="C195" s="581">
        <v>2100</v>
      </c>
      <c r="D195" s="161">
        <f>(D146*(1-'5.Closing Stock &amp; W Capital'!$D$16))*$C195*D$174</f>
        <v>0</v>
      </c>
      <c r="E195" s="161">
        <f>((E146*(1-'5.Closing Stock &amp; W Capital'!$D$16))+(D146*'5.Closing Stock &amp; W Capital'!$D$16))*$C195*E$174</f>
        <v>0</v>
      </c>
      <c r="F195" s="161">
        <f>((F146*(1-'5.Closing Stock &amp; W Capital'!$D$16))+(E146*'5.Closing Stock &amp; W Capital'!$D$16))*$C195*F$174</f>
        <v>0</v>
      </c>
      <c r="G195" s="161">
        <f>((G146*(1-'5.Closing Stock &amp; W Capital'!$D$16))+(F146*'5.Closing Stock &amp; W Capital'!$D$16))*$C195*G$174</f>
        <v>0</v>
      </c>
      <c r="H195" s="161">
        <f>((H146*(1-'5.Closing Stock &amp; W Capital'!$D$16))+(G146*'5.Closing Stock &amp; W Capital'!$D$16))*$C195*H$174</f>
        <v>0</v>
      </c>
      <c r="I195" s="161">
        <f>((I146*(1-'5.Closing Stock &amp; W Capital'!$D$16))+(H146*'5.Closing Stock &amp; W Capital'!$D$16))*$C195*I$174</f>
        <v>0</v>
      </c>
      <c r="J195" s="161">
        <f>((J146*(1-'5.Closing Stock &amp; W Capital'!$D$16))+(I146*'5.Closing Stock &amp; W Capital'!$D$16))*$C195*J$174</f>
        <v>0</v>
      </c>
      <c r="K195" s="68"/>
      <c r="L195" s="68"/>
      <c r="M195" s="68"/>
      <c r="N195" s="68"/>
      <c r="O195" s="68"/>
      <c r="P195" s="68"/>
      <c r="Q195" s="68"/>
      <c r="R195" s="68"/>
      <c r="S195" s="68"/>
    </row>
    <row r="196" spans="1:19" hidden="1">
      <c r="A196" s="71" t="str">
        <f t="shared" si="38"/>
        <v>Tomato</v>
      </c>
      <c r="B196" s="69" t="s">
        <v>365</v>
      </c>
      <c r="C196" s="580">
        <v>1000</v>
      </c>
      <c r="D196" s="161">
        <f>(D147*(1-'5.Closing Stock &amp; W Capital'!$D$16))*$C196*D$174</f>
        <v>0</v>
      </c>
      <c r="E196" s="161">
        <f>((E147*(1-'5.Closing Stock &amp; W Capital'!$D$16))+(D147*'5.Closing Stock &amp; W Capital'!$D$16))*$C196*E$174</f>
        <v>0</v>
      </c>
      <c r="F196" s="161">
        <f>((F147*(1-'5.Closing Stock &amp; W Capital'!$D$16))+(E147*'5.Closing Stock &amp; W Capital'!$D$16))*$C196*F$174</f>
        <v>0</v>
      </c>
      <c r="G196" s="161">
        <f>((G147*(1-'5.Closing Stock &amp; W Capital'!$D$16))+(F147*'5.Closing Stock &amp; W Capital'!$D$16))*$C196*G$174</f>
        <v>0</v>
      </c>
      <c r="H196" s="161">
        <f>((H147*(1-'5.Closing Stock &amp; W Capital'!$D$16))+(G147*'5.Closing Stock &amp; W Capital'!$D$16))*$C196*H$174</f>
        <v>0</v>
      </c>
      <c r="I196" s="161">
        <f>((I147*(1-'5.Closing Stock &amp; W Capital'!$D$16))+(H147*'5.Closing Stock &amp; W Capital'!$D$16))*$C196*I$174</f>
        <v>0</v>
      </c>
      <c r="J196" s="161">
        <f>((J147*(1-'5.Closing Stock &amp; W Capital'!$D$16))+(I147*'5.Closing Stock &amp; W Capital'!$D$16))*$C196*J$174</f>
        <v>0</v>
      </c>
      <c r="K196" s="68"/>
      <c r="L196" s="68"/>
      <c r="M196" s="68"/>
      <c r="N196" s="68"/>
      <c r="O196" s="68"/>
      <c r="P196" s="68"/>
      <c r="Q196" s="68"/>
      <c r="R196" s="68"/>
      <c r="S196" s="68"/>
    </row>
    <row r="197" spans="1:19" hidden="1">
      <c r="A197" s="71" t="str">
        <f t="shared" si="38"/>
        <v>Okra</v>
      </c>
      <c r="B197" s="69" t="s">
        <v>365</v>
      </c>
      <c r="C197" s="580">
        <v>1500</v>
      </c>
      <c r="D197" s="161">
        <f>(D148*(1-'5.Closing Stock &amp; W Capital'!$D$16))*$C197*D$174</f>
        <v>0</v>
      </c>
      <c r="E197" s="161">
        <f>((E148*(1-'5.Closing Stock &amp; W Capital'!$D$16))+(D148*'5.Closing Stock &amp; W Capital'!$D$16))*$C197*E$174</f>
        <v>0</v>
      </c>
      <c r="F197" s="161">
        <f>((F148*(1-'5.Closing Stock &amp; W Capital'!$D$16))+(E148*'5.Closing Stock &amp; W Capital'!$D$16))*$C197*F$174</f>
        <v>0</v>
      </c>
      <c r="G197" s="161">
        <f>((G148*(1-'5.Closing Stock &amp; W Capital'!$D$16))+(F148*'5.Closing Stock &amp; W Capital'!$D$16))*$C197*G$174</f>
        <v>0</v>
      </c>
      <c r="H197" s="161">
        <f>((H148*(1-'5.Closing Stock &amp; W Capital'!$D$16))+(G148*'5.Closing Stock &amp; W Capital'!$D$16))*$C197*H$174</f>
        <v>0</v>
      </c>
      <c r="I197" s="161">
        <f>((I148*(1-'5.Closing Stock &amp; W Capital'!$D$16))+(H148*'5.Closing Stock &amp; W Capital'!$D$16))*$C197*I$174</f>
        <v>0</v>
      </c>
      <c r="J197" s="161">
        <f>((J148*(1-'5.Closing Stock &amp; W Capital'!$D$16))+(I148*'5.Closing Stock &amp; W Capital'!$D$16))*$C197*J$174</f>
        <v>0</v>
      </c>
      <c r="K197" s="68"/>
      <c r="L197" s="68"/>
      <c r="M197" s="68"/>
      <c r="N197" s="68"/>
      <c r="O197" s="68"/>
      <c r="P197" s="68"/>
      <c r="Q197" s="68"/>
      <c r="R197" s="68"/>
      <c r="S197" s="68"/>
    </row>
    <row r="198" spans="1:19" hidden="1">
      <c r="A198" s="71" t="str">
        <f t="shared" si="38"/>
        <v>Chilli</v>
      </c>
      <c r="B198" s="69" t="s">
        <v>365</v>
      </c>
      <c r="C198" s="580">
        <v>3000</v>
      </c>
      <c r="D198" s="161">
        <f>(D149*(1-'5.Closing Stock &amp; W Capital'!$D$16))*$C198*D$174</f>
        <v>0</v>
      </c>
      <c r="E198" s="161">
        <f>((E149*(1-'5.Closing Stock &amp; W Capital'!$D$16))+(D149*'5.Closing Stock &amp; W Capital'!$D$16))*$C198*E$174</f>
        <v>0</v>
      </c>
      <c r="F198" s="161">
        <f>((F149*(1-'5.Closing Stock &amp; W Capital'!$D$16))+(E149*'5.Closing Stock &amp; W Capital'!$D$16))*$C198*F$174</f>
        <v>0</v>
      </c>
      <c r="G198" s="161">
        <f>((G149*(1-'5.Closing Stock &amp; W Capital'!$D$16))+(F149*'5.Closing Stock &amp; W Capital'!$D$16))*$C198*G$174</f>
        <v>0</v>
      </c>
      <c r="H198" s="161">
        <f>((H149*(1-'5.Closing Stock &amp; W Capital'!$D$16))+(G149*'5.Closing Stock &amp; W Capital'!$D$16))*$C198*H$174</f>
        <v>0</v>
      </c>
      <c r="I198" s="161">
        <f>((I149*(1-'5.Closing Stock &amp; W Capital'!$D$16))+(H149*'5.Closing Stock &amp; W Capital'!$D$16))*$C198*I$174</f>
        <v>0</v>
      </c>
      <c r="J198" s="161">
        <f>((J149*(1-'5.Closing Stock &amp; W Capital'!$D$16))+(I149*'5.Closing Stock &amp; W Capital'!$D$16))*$C198*J$174</f>
        <v>0</v>
      </c>
      <c r="K198" s="68"/>
      <c r="L198" s="68"/>
      <c r="M198" s="68"/>
      <c r="N198" s="68"/>
      <c r="O198" s="68"/>
      <c r="P198" s="68"/>
      <c r="Q198" s="68"/>
      <c r="R198" s="68"/>
      <c r="S198" s="68"/>
    </row>
    <row r="199" spans="1:19" hidden="1">
      <c r="A199" s="71" t="str">
        <f t="shared" si="38"/>
        <v>Potato</v>
      </c>
      <c r="B199" s="69" t="s">
        <v>365</v>
      </c>
      <c r="C199" s="580">
        <v>1500</v>
      </c>
      <c r="D199" s="161">
        <f>(D150*(1-'5.Closing Stock &amp; W Capital'!$D$16))*$C199*D$174</f>
        <v>0</v>
      </c>
      <c r="E199" s="161">
        <f>((E150*(1-'5.Closing Stock &amp; W Capital'!$D$16))+(D150*'5.Closing Stock &amp; W Capital'!$D$16))*$C199*E$174</f>
        <v>0</v>
      </c>
      <c r="F199" s="161">
        <f>((F150*(1-'5.Closing Stock &amp; W Capital'!$D$16))+(E150*'5.Closing Stock &amp; W Capital'!$D$16))*$C199*F$174</f>
        <v>0</v>
      </c>
      <c r="G199" s="161">
        <f>((G150*(1-'5.Closing Stock &amp; W Capital'!$D$16))+(F150*'5.Closing Stock &amp; W Capital'!$D$16))*$C199*G$174</f>
        <v>0</v>
      </c>
      <c r="H199" s="161">
        <f>((H150*(1-'5.Closing Stock &amp; W Capital'!$D$16))+(G150*'5.Closing Stock &amp; W Capital'!$D$16))*$C199*H$174</f>
        <v>0</v>
      </c>
      <c r="I199" s="161">
        <f>((I150*(1-'5.Closing Stock &amp; W Capital'!$D$16))+(H150*'5.Closing Stock &amp; W Capital'!$D$16))*$C199*I$174</f>
        <v>0</v>
      </c>
      <c r="J199" s="161">
        <f>((J150*(1-'5.Closing Stock &amp; W Capital'!$D$16))+(I150*'5.Closing Stock &amp; W Capital'!$D$16))*$C199*J$174</f>
        <v>0</v>
      </c>
      <c r="K199" s="68"/>
      <c r="L199" s="68"/>
      <c r="M199" s="68"/>
      <c r="N199" s="68"/>
      <c r="O199" s="68"/>
      <c r="P199" s="68"/>
      <c r="Q199" s="68"/>
      <c r="R199" s="68"/>
      <c r="S199" s="68"/>
    </row>
    <row r="200" spans="1:19" hidden="1">
      <c r="A200" s="71" t="str">
        <f t="shared" si="38"/>
        <v>Cabbage</v>
      </c>
      <c r="B200" s="69" t="s">
        <v>365</v>
      </c>
      <c r="C200" s="71"/>
      <c r="D200" s="161">
        <f>(D151*(1-'5.Closing Stock &amp; W Capital'!$D$16))*$C200*D$174</f>
        <v>0</v>
      </c>
      <c r="E200" s="161">
        <f>((E151*(1-'5.Closing Stock &amp; W Capital'!$D$16))+(D151*'5.Closing Stock &amp; W Capital'!$D$16))*$C200*E$174</f>
        <v>0</v>
      </c>
      <c r="F200" s="161">
        <f>((F151*(1-'5.Closing Stock &amp; W Capital'!$D$16))+(E151*'5.Closing Stock &amp; W Capital'!$D$16))*$C200*F$174</f>
        <v>0</v>
      </c>
      <c r="G200" s="161">
        <f>((G151*(1-'5.Closing Stock &amp; W Capital'!$D$16))+(F151*'5.Closing Stock &amp; W Capital'!$D$16))*$C200*G$174</f>
        <v>0</v>
      </c>
      <c r="H200" s="161">
        <f>((H151*(1-'5.Closing Stock &amp; W Capital'!$D$16))+(G151*'5.Closing Stock &amp; W Capital'!$D$16))*$C200*H$174</f>
        <v>0</v>
      </c>
      <c r="I200" s="161">
        <f>((I151*(1-'5.Closing Stock &amp; W Capital'!$D$16))+(H151*'5.Closing Stock &amp; W Capital'!$D$16))*$C200*I$174</f>
        <v>0</v>
      </c>
      <c r="J200" s="161">
        <f>((J151*(1-'5.Closing Stock &amp; W Capital'!$D$16))+(I151*'5.Closing Stock &amp; W Capital'!$D$16))*$C200*J$174</f>
        <v>0</v>
      </c>
      <c r="K200" s="68"/>
      <c r="L200" s="68"/>
      <c r="M200" s="68"/>
      <c r="N200" s="68"/>
      <c r="O200" s="68"/>
      <c r="P200" s="68"/>
      <c r="Q200" s="68"/>
      <c r="R200" s="68"/>
      <c r="S200" s="68"/>
    </row>
    <row r="201" spans="1:19" hidden="1">
      <c r="A201" s="71" t="str">
        <f t="shared" si="38"/>
        <v>Coliflower</v>
      </c>
      <c r="B201" s="69" t="s">
        <v>365</v>
      </c>
      <c r="C201" s="71"/>
      <c r="D201" s="161">
        <f>(D152*(1-'5.Closing Stock &amp; W Capital'!$D$16))*$C201*D$174</f>
        <v>0</v>
      </c>
      <c r="E201" s="161">
        <f>((E152*(1-'5.Closing Stock &amp; W Capital'!$D$16))+(D152*'5.Closing Stock &amp; W Capital'!$D$16))*$C201*E$174</f>
        <v>0</v>
      </c>
      <c r="F201" s="161">
        <f>((F152*(1-'5.Closing Stock &amp; W Capital'!$D$16))+(E152*'5.Closing Stock &amp; W Capital'!$D$16))*$C201*F$174</f>
        <v>0</v>
      </c>
      <c r="G201" s="161">
        <f>((G152*(1-'5.Closing Stock &amp; W Capital'!$D$16))+(F152*'5.Closing Stock &amp; W Capital'!$D$16))*$C201*G$174</f>
        <v>0</v>
      </c>
      <c r="H201" s="161">
        <f>((H152*(1-'5.Closing Stock &amp; W Capital'!$D$16))+(G152*'5.Closing Stock &amp; W Capital'!$D$16))*$C201*H$174</f>
        <v>0</v>
      </c>
      <c r="I201" s="161">
        <f>((I152*(1-'5.Closing Stock &amp; W Capital'!$D$16))+(H152*'5.Closing Stock &amp; W Capital'!$D$16))*$C201*I$174</f>
        <v>0</v>
      </c>
      <c r="J201" s="161">
        <f>((J152*(1-'5.Closing Stock &amp; W Capital'!$D$16))+(I152*'5.Closing Stock &amp; W Capital'!$D$16))*$C201*J$174</f>
        <v>0</v>
      </c>
      <c r="K201" s="68"/>
      <c r="L201" s="68"/>
      <c r="M201" s="68"/>
      <c r="N201" s="68"/>
      <c r="O201" s="68"/>
      <c r="P201" s="68"/>
      <c r="Q201" s="68"/>
      <c r="R201" s="68"/>
      <c r="S201" s="68"/>
    </row>
    <row r="202" spans="1:19" hidden="1">
      <c r="A202" s="71" t="str">
        <f t="shared" si="38"/>
        <v>Bitter Gurd</v>
      </c>
      <c r="B202" s="69" t="s">
        <v>365</v>
      </c>
      <c r="C202" s="71"/>
      <c r="D202" s="161">
        <f>(D153*(1-'5.Closing Stock &amp; W Capital'!$D$16))*$C202*D$174</f>
        <v>0</v>
      </c>
      <c r="E202" s="161">
        <f>((E153*(1-'5.Closing Stock &amp; W Capital'!$D$16))+(D153*'5.Closing Stock &amp; W Capital'!$D$16))*$C202*E$174</f>
        <v>0</v>
      </c>
      <c r="F202" s="161">
        <f>((F153*(1-'5.Closing Stock &amp; W Capital'!$D$16))+(E153*'5.Closing Stock &amp; W Capital'!$D$16))*$C202*F$174</f>
        <v>0</v>
      </c>
      <c r="G202" s="161">
        <f>((G153*(1-'5.Closing Stock &amp; W Capital'!$D$16))+(F153*'5.Closing Stock &amp; W Capital'!$D$16))*$C202*G$174</f>
        <v>0</v>
      </c>
      <c r="H202" s="161">
        <f>((H153*(1-'5.Closing Stock &amp; W Capital'!$D$16))+(G153*'5.Closing Stock &amp; W Capital'!$D$16))*$C202*H$174</f>
        <v>0</v>
      </c>
      <c r="I202" s="161">
        <f>((I153*(1-'5.Closing Stock &amp; W Capital'!$D$16))+(H153*'5.Closing Stock &amp; W Capital'!$D$16))*$C202*I$174</f>
        <v>0</v>
      </c>
      <c r="J202" s="161">
        <f>((J153*(1-'5.Closing Stock &amp; W Capital'!$D$16))+(I153*'5.Closing Stock &amp; W Capital'!$D$16))*$C202*J$174</f>
        <v>0</v>
      </c>
      <c r="K202" s="68"/>
      <c r="L202" s="68"/>
      <c r="M202" s="68"/>
      <c r="N202" s="68"/>
      <c r="O202" s="68"/>
      <c r="P202" s="68"/>
      <c r="Q202" s="68"/>
      <c r="R202" s="68"/>
      <c r="S202" s="68"/>
    </row>
    <row r="203" spans="1:19" hidden="1">
      <c r="A203" s="71">
        <f t="shared" si="38"/>
        <v>0</v>
      </c>
      <c r="B203" s="69" t="s">
        <v>365</v>
      </c>
      <c r="C203" s="71"/>
      <c r="D203" s="161">
        <f>(D154*(1-'5.Closing Stock &amp; W Capital'!$D$16))*$C203*D$174</f>
        <v>0</v>
      </c>
      <c r="E203" s="161">
        <f>((E154*(1-'5.Closing Stock &amp; W Capital'!$D$16))+(D154*'5.Closing Stock &amp; W Capital'!$D$16))*$C203*E$174</f>
        <v>0</v>
      </c>
      <c r="F203" s="161">
        <f>((F154*(1-'5.Closing Stock &amp; W Capital'!$D$16))+(E154*'5.Closing Stock &amp; W Capital'!$D$16))*$C203*F$174</f>
        <v>0</v>
      </c>
      <c r="G203" s="161">
        <f>((G154*(1-'5.Closing Stock &amp; W Capital'!$D$16))+(F154*'5.Closing Stock &amp; W Capital'!$D$16))*$C203*G$174</f>
        <v>0</v>
      </c>
      <c r="H203" s="161">
        <f>((H154*(1-'5.Closing Stock &amp; W Capital'!$D$16))+(G154*'5.Closing Stock &amp; W Capital'!$D$16))*$C203*H$174</f>
        <v>0</v>
      </c>
      <c r="I203" s="161">
        <f>((I154*(1-'5.Closing Stock &amp; W Capital'!$D$16))+(H154*'5.Closing Stock &amp; W Capital'!$D$16))*$C203*I$174</f>
        <v>0</v>
      </c>
      <c r="J203" s="161">
        <f>((J154*(1-'5.Closing Stock &amp; W Capital'!$D$16))+(I154*'5.Closing Stock &amp; W Capital'!$D$16))*$C203*J$174</f>
        <v>0</v>
      </c>
      <c r="K203" s="68"/>
      <c r="L203" s="68"/>
      <c r="M203" s="68"/>
      <c r="N203" s="68"/>
      <c r="O203" s="68"/>
      <c r="P203" s="68"/>
      <c r="Q203" s="68"/>
      <c r="R203" s="68"/>
      <c r="S203" s="68"/>
    </row>
    <row r="204" spans="1:19" hidden="1">
      <c r="A204" s="71" t="str">
        <f t="shared" si="38"/>
        <v>Exotic Vegitables</v>
      </c>
      <c r="B204" s="69" t="s">
        <v>365</v>
      </c>
      <c r="C204" s="580">
        <v>2000</v>
      </c>
      <c r="D204" s="161">
        <f>(D155*(1-'5.Closing Stock &amp; W Capital'!$D$16))*$C204*D$174</f>
        <v>0</v>
      </c>
      <c r="E204" s="161">
        <f>((E155*(1-'5.Closing Stock &amp; W Capital'!$D$16))+(D155*'5.Closing Stock &amp; W Capital'!$D$16))*$C204*E$174</f>
        <v>0</v>
      </c>
      <c r="F204" s="161">
        <f>((F155*(1-'5.Closing Stock &amp; W Capital'!$D$16))+(E155*'5.Closing Stock &amp; W Capital'!$D$16))*$C204*F$174</f>
        <v>0</v>
      </c>
      <c r="G204" s="161">
        <f>((G155*(1-'5.Closing Stock &amp; W Capital'!$D$16))+(F155*'5.Closing Stock &amp; W Capital'!$D$16))*$C204*G$174</f>
        <v>0</v>
      </c>
      <c r="H204" s="161">
        <f>((H155*(1-'5.Closing Stock &amp; W Capital'!$D$16))+(G155*'5.Closing Stock &amp; W Capital'!$D$16))*$C204*H$174</f>
        <v>0</v>
      </c>
      <c r="I204" s="161">
        <f>((I155*(1-'5.Closing Stock &amp; W Capital'!$D$16))+(H155*'5.Closing Stock &amp; W Capital'!$D$16))*$C204*I$174</f>
        <v>0</v>
      </c>
      <c r="J204" s="161">
        <f>((J155*(1-'5.Closing Stock &amp; W Capital'!$D$16))+(I155*'5.Closing Stock &amp; W Capital'!$D$16))*$C204*J$174</f>
        <v>0</v>
      </c>
      <c r="K204" s="68"/>
      <c r="L204" s="68"/>
      <c r="M204" s="68"/>
      <c r="N204" s="68"/>
      <c r="O204" s="68"/>
      <c r="P204" s="68"/>
      <c r="Q204" s="68"/>
      <c r="R204" s="68"/>
      <c r="S204" s="68"/>
    </row>
    <row r="205" spans="1:19" hidden="1">
      <c r="A205" s="71" t="str">
        <f t="shared" si="38"/>
        <v>Tomato</v>
      </c>
      <c r="B205" s="69" t="s">
        <v>365</v>
      </c>
      <c r="C205" s="580">
        <v>1000</v>
      </c>
      <c r="D205" s="161">
        <f>(D156*(1-'5.Closing Stock &amp; W Capital'!$D$16))*$C205*D$174</f>
        <v>0</v>
      </c>
      <c r="E205" s="161">
        <f>((E156*(1-'5.Closing Stock &amp; W Capital'!$D$16))+(D156*'5.Closing Stock &amp; W Capital'!$D$16))*$C205*E$174</f>
        <v>0</v>
      </c>
      <c r="F205" s="161">
        <f>((F156*(1-'5.Closing Stock &amp; W Capital'!$D$16))+(E156*'5.Closing Stock &amp; W Capital'!$D$16))*$C205*F$174</f>
        <v>0</v>
      </c>
      <c r="G205" s="161">
        <f>((G156*(1-'5.Closing Stock &amp; W Capital'!$D$16))+(F156*'5.Closing Stock &amp; W Capital'!$D$16))*$C205*G$174</f>
        <v>0</v>
      </c>
      <c r="H205" s="161">
        <f>((H156*(1-'5.Closing Stock &amp; W Capital'!$D$16))+(G156*'5.Closing Stock &amp; W Capital'!$D$16))*$C205*H$174</f>
        <v>0</v>
      </c>
      <c r="I205" s="161">
        <f>((I156*(1-'5.Closing Stock &amp; W Capital'!$D$16))+(H156*'5.Closing Stock &amp; W Capital'!$D$16))*$C205*I$174</f>
        <v>0</v>
      </c>
      <c r="J205" s="161">
        <f>((J156*(1-'5.Closing Stock &amp; W Capital'!$D$16))+(I156*'5.Closing Stock &amp; W Capital'!$D$16))*$C205*J$174</f>
        <v>0</v>
      </c>
      <c r="K205" s="68"/>
      <c r="L205" s="68"/>
      <c r="M205" s="68"/>
      <c r="N205" s="68"/>
      <c r="O205" s="68"/>
      <c r="P205" s="68"/>
      <c r="Q205" s="68"/>
      <c r="R205" s="68"/>
      <c r="S205" s="68"/>
    </row>
    <row r="206" spans="1:19" hidden="1">
      <c r="A206" s="71" t="str">
        <f t="shared" si="38"/>
        <v>Okra</v>
      </c>
      <c r="B206" s="69" t="s">
        <v>365</v>
      </c>
      <c r="C206" s="580">
        <v>1500</v>
      </c>
      <c r="D206" s="161">
        <f>(D157*(1-'5.Closing Stock &amp; W Capital'!$D$16))*$C206*D$174</f>
        <v>0</v>
      </c>
      <c r="E206" s="161">
        <f>((E157*(1-'5.Closing Stock &amp; W Capital'!$D$16))+(D157*'5.Closing Stock &amp; W Capital'!$D$16))*$C206*E$174</f>
        <v>0</v>
      </c>
      <c r="F206" s="161">
        <f>((F157*(1-'5.Closing Stock &amp; W Capital'!$D$16))+(E157*'5.Closing Stock &amp; W Capital'!$D$16))*$C206*F$174</f>
        <v>0</v>
      </c>
      <c r="G206" s="161">
        <f>((G157*(1-'5.Closing Stock &amp; W Capital'!$D$16))+(F157*'5.Closing Stock &amp; W Capital'!$D$16))*$C206*G$174</f>
        <v>0</v>
      </c>
      <c r="H206" s="161">
        <f>((H157*(1-'5.Closing Stock &amp; W Capital'!$D$16))+(G157*'5.Closing Stock &amp; W Capital'!$D$16))*$C206*H$174</f>
        <v>0</v>
      </c>
      <c r="I206" s="161">
        <f>((I157*(1-'5.Closing Stock &amp; W Capital'!$D$16))+(H157*'5.Closing Stock &amp; W Capital'!$D$16))*$C206*I$174</f>
        <v>0</v>
      </c>
      <c r="J206" s="161">
        <f>((J157*(1-'5.Closing Stock &amp; W Capital'!$D$16))+(I157*'5.Closing Stock &amp; W Capital'!$D$16))*$C206*J$174</f>
        <v>0</v>
      </c>
      <c r="K206" s="68"/>
      <c r="L206" s="68"/>
      <c r="M206" s="68"/>
      <c r="N206" s="68"/>
      <c r="O206" s="68"/>
      <c r="P206" s="68"/>
      <c r="Q206" s="68"/>
      <c r="R206" s="68"/>
      <c r="S206" s="68"/>
    </row>
    <row r="207" spans="1:19" hidden="1">
      <c r="A207" s="71" t="str">
        <f t="shared" si="38"/>
        <v>Chilli</v>
      </c>
      <c r="B207" s="69" t="s">
        <v>365</v>
      </c>
      <c r="C207" s="580">
        <v>3000</v>
      </c>
      <c r="D207" s="161">
        <f>(D158*(1-'5.Closing Stock &amp; W Capital'!$D$16))*$C207*D$174</f>
        <v>0</v>
      </c>
      <c r="E207" s="161">
        <f>((E158*(1-'5.Closing Stock &amp; W Capital'!$D$16))+(D158*'5.Closing Stock &amp; W Capital'!$D$16))*$C207*E$174</f>
        <v>0</v>
      </c>
      <c r="F207" s="161">
        <f>((F158*(1-'5.Closing Stock &amp; W Capital'!$D$16))+(E158*'5.Closing Stock &amp; W Capital'!$D$16))*$C207*F$174</f>
        <v>0</v>
      </c>
      <c r="G207" s="161">
        <f>((G158*(1-'5.Closing Stock &amp; W Capital'!$D$16))+(F158*'5.Closing Stock &amp; W Capital'!$D$16))*$C207*G$174</f>
        <v>0</v>
      </c>
      <c r="H207" s="161">
        <f>((H158*(1-'5.Closing Stock &amp; W Capital'!$D$16))+(G158*'5.Closing Stock &amp; W Capital'!$D$16))*$C207*H$174</f>
        <v>0</v>
      </c>
      <c r="I207" s="161">
        <f>((I158*(1-'5.Closing Stock &amp; W Capital'!$D$16))+(H158*'5.Closing Stock &amp; W Capital'!$D$16))*$C207*I$174</f>
        <v>0</v>
      </c>
      <c r="J207" s="161">
        <f>((J158*(1-'5.Closing Stock &amp; W Capital'!$D$16))+(I158*'5.Closing Stock &amp; W Capital'!$D$16))*$C207*J$174</f>
        <v>0</v>
      </c>
      <c r="K207" s="68"/>
      <c r="L207" s="68"/>
      <c r="M207" s="68"/>
      <c r="N207" s="68"/>
      <c r="O207" s="68"/>
      <c r="P207" s="68"/>
      <c r="Q207" s="68"/>
      <c r="R207" s="68"/>
      <c r="S207" s="68"/>
    </row>
    <row r="208" spans="1:19" hidden="1">
      <c r="A208" s="71" t="str">
        <f t="shared" si="38"/>
        <v>Brinjal</v>
      </c>
      <c r="B208" s="69" t="s">
        <v>365</v>
      </c>
      <c r="C208" s="580">
        <v>2000</v>
      </c>
      <c r="D208" s="161">
        <f>(D159*(1-'5.Closing Stock &amp; W Capital'!$D$16))*$C208*D$174</f>
        <v>0</v>
      </c>
      <c r="E208" s="161">
        <f>((E159*(1-'5.Closing Stock &amp; W Capital'!$D$16))+(D159*'5.Closing Stock &amp; W Capital'!$D$16))*$C208*E$174</f>
        <v>0</v>
      </c>
      <c r="F208" s="161">
        <f>((F159*(1-'5.Closing Stock &amp; W Capital'!$D$16))+(E159*'5.Closing Stock &amp; W Capital'!$D$16))*$C208*F$174</f>
        <v>0</v>
      </c>
      <c r="G208" s="161">
        <f>((G159*(1-'5.Closing Stock &amp; W Capital'!$D$16))+(F159*'5.Closing Stock &amp; W Capital'!$D$16))*$C208*G$174</f>
        <v>0</v>
      </c>
      <c r="H208" s="161">
        <f>((H159*(1-'5.Closing Stock &amp; W Capital'!$D$16))+(G159*'5.Closing Stock &amp; W Capital'!$D$16))*$C208*H$174</f>
        <v>0</v>
      </c>
      <c r="I208" s="161">
        <f>((I159*(1-'5.Closing Stock &amp; W Capital'!$D$16))+(H159*'5.Closing Stock &amp; W Capital'!$D$16))*$C208*I$174</f>
        <v>0</v>
      </c>
      <c r="J208" s="161">
        <f>((J159*(1-'5.Closing Stock &amp; W Capital'!$D$16))+(I159*'5.Closing Stock &amp; W Capital'!$D$16))*$C208*J$174</f>
        <v>0</v>
      </c>
      <c r="K208" s="68"/>
      <c r="L208" s="68"/>
      <c r="M208" s="68"/>
      <c r="N208" s="68"/>
      <c r="O208" s="68"/>
      <c r="P208" s="68"/>
      <c r="Q208" s="68"/>
      <c r="R208" s="68"/>
      <c r="S208" s="68"/>
    </row>
    <row r="209" spans="1:19" hidden="1">
      <c r="A209" s="71" t="str">
        <f t="shared" si="38"/>
        <v>Ginger</v>
      </c>
      <c r="B209" s="69" t="s">
        <v>365</v>
      </c>
      <c r="C209" s="580"/>
      <c r="D209" s="161">
        <f>(D160*(1-'5.Closing Stock &amp; W Capital'!$D$16))*$C209*D$174</f>
        <v>0</v>
      </c>
      <c r="E209" s="161">
        <f>((E160*(1-'5.Closing Stock &amp; W Capital'!$D$16))+(D160*'5.Closing Stock &amp; W Capital'!$D$16))*$C209*E$174</f>
        <v>0</v>
      </c>
      <c r="F209" s="161">
        <f>((F160*(1-'5.Closing Stock &amp; W Capital'!$D$16))+(E160*'5.Closing Stock &amp; W Capital'!$D$16))*$C209*F$174</f>
        <v>0</v>
      </c>
      <c r="G209" s="161">
        <f>((G160*(1-'5.Closing Stock &amp; W Capital'!$D$16))+(F160*'5.Closing Stock &amp; W Capital'!$D$16))*$C209*G$174</f>
        <v>0</v>
      </c>
      <c r="H209" s="161">
        <f>((H160*(1-'5.Closing Stock &amp; W Capital'!$D$16))+(G160*'5.Closing Stock &amp; W Capital'!$D$16))*$C209*H$174</f>
        <v>0</v>
      </c>
      <c r="I209" s="161">
        <f>((I160*(1-'5.Closing Stock &amp; W Capital'!$D$16))+(H160*'5.Closing Stock &amp; W Capital'!$D$16))*$C209*I$174</f>
        <v>0</v>
      </c>
      <c r="J209" s="161">
        <f>((J160*(1-'5.Closing Stock &amp; W Capital'!$D$16))+(I160*'5.Closing Stock &amp; W Capital'!$D$16))*$C209*J$174</f>
        <v>0</v>
      </c>
      <c r="K209" s="68"/>
      <c r="L209" s="68"/>
      <c r="M209" s="68"/>
      <c r="N209" s="68"/>
      <c r="O209" s="68"/>
      <c r="P209" s="68"/>
      <c r="Q209" s="68"/>
      <c r="R209" s="68"/>
      <c r="S209" s="68"/>
    </row>
    <row r="210" spans="1:19" hidden="1">
      <c r="A210" s="71">
        <f t="shared" si="38"/>
        <v>0</v>
      </c>
      <c r="B210" s="69" t="s">
        <v>365</v>
      </c>
      <c r="C210" s="580"/>
      <c r="D210" s="161">
        <f>(D161*(1-'5.Closing Stock &amp; W Capital'!$D$16))*$C210*D$174</f>
        <v>0</v>
      </c>
      <c r="E210" s="161">
        <f>((E161*(1-'5.Closing Stock &amp; W Capital'!$D$16))+(D161*'5.Closing Stock &amp; W Capital'!$D$16))*$C210*E$174</f>
        <v>0</v>
      </c>
      <c r="F210" s="161">
        <f>((F161*(1-'5.Closing Stock &amp; W Capital'!$D$16))+(E161*'5.Closing Stock &amp; W Capital'!$D$16))*$C210*F$174</f>
        <v>0</v>
      </c>
      <c r="G210" s="161">
        <f>((G161*(1-'5.Closing Stock &amp; W Capital'!$D$16))+(F161*'5.Closing Stock &amp; W Capital'!$D$16))*$C210*G$174</f>
        <v>0</v>
      </c>
      <c r="H210" s="161">
        <f>((H161*(1-'5.Closing Stock &amp; W Capital'!$D$16))+(G161*'5.Closing Stock &amp; W Capital'!$D$16))*$C210*H$174</f>
        <v>0</v>
      </c>
      <c r="I210" s="161">
        <f>((I161*(1-'5.Closing Stock &amp; W Capital'!$D$16))+(H161*'5.Closing Stock &amp; W Capital'!$D$16))*$C210*I$174</f>
        <v>0</v>
      </c>
      <c r="J210" s="161">
        <f>((J161*(1-'5.Closing Stock &amp; W Capital'!$D$16))+(I161*'5.Closing Stock &amp; W Capital'!$D$16))*$C210*J$174</f>
        <v>0</v>
      </c>
      <c r="K210" s="68"/>
      <c r="L210" s="68"/>
      <c r="M210" s="68"/>
      <c r="N210" s="68"/>
      <c r="O210" s="68"/>
      <c r="P210" s="68"/>
      <c r="Q210" s="68"/>
      <c r="R210" s="68"/>
      <c r="S210" s="68"/>
    </row>
    <row r="211" spans="1:19" hidden="1">
      <c r="A211" s="71">
        <f t="shared" si="38"/>
        <v>0</v>
      </c>
      <c r="B211" s="69" t="s">
        <v>365</v>
      </c>
      <c r="C211" s="580"/>
      <c r="D211" s="161">
        <f>(D162*(1-'5.Closing Stock &amp; W Capital'!$D$16))*$C211*D$174</f>
        <v>0</v>
      </c>
      <c r="E211" s="161">
        <f>((E162*(1-'5.Closing Stock &amp; W Capital'!$D$16))+(D162*'5.Closing Stock &amp; W Capital'!$D$16))*$C211*E$174</f>
        <v>0</v>
      </c>
      <c r="F211" s="161">
        <f>((F162*(1-'5.Closing Stock &amp; W Capital'!$D$16))+(E162*'5.Closing Stock &amp; W Capital'!$D$16))*$C211*F$174</f>
        <v>0</v>
      </c>
      <c r="G211" s="161">
        <f>((G162*(1-'5.Closing Stock &amp; W Capital'!$D$16))+(F162*'5.Closing Stock &amp; W Capital'!$D$16))*$C211*G$174</f>
        <v>0</v>
      </c>
      <c r="H211" s="161">
        <f>((H162*(1-'5.Closing Stock &amp; W Capital'!$D$16))+(G162*'5.Closing Stock &amp; W Capital'!$D$16))*$C211*H$174</f>
        <v>0</v>
      </c>
      <c r="I211" s="161">
        <f>((I162*(1-'5.Closing Stock &amp; W Capital'!$D$16))+(H162*'5.Closing Stock &amp; W Capital'!$D$16))*$C211*I$174</f>
        <v>0</v>
      </c>
      <c r="J211" s="161">
        <f>((J162*(1-'5.Closing Stock &amp; W Capital'!$D$16))+(I162*'5.Closing Stock &amp; W Capital'!$D$16))*$C211*J$174</f>
        <v>0</v>
      </c>
      <c r="K211" s="68"/>
      <c r="L211" s="68"/>
      <c r="M211" s="68"/>
      <c r="N211" s="68"/>
      <c r="O211" s="68"/>
      <c r="P211" s="68"/>
      <c r="Q211" s="68"/>
      <c r="R211" s="68"/>
      <c r="S211" s="68"/>
    </row>
    <row r="212" spans="1:19" hidden="1">
      <c r="A212" s="71" t="str">
        <f t="shared" si="38"/>
        <v>Spinach</v>
      </c>
      <c r="B212" s="69" t="s">
        <v>365</v>
      </c>
      <c r="C212" s="580"/>
      <c r="D212" s="161">
        <f>(D163*(1-'5.Closing Stock &amp; W Capital'!$D$16))*$C212*D$174</f>
        <v>0</v>
      </c>
      <c r="E212" s="161">
        <f>((E163*(1-'5.Closing Stock &amp; W Capital'!$D$16))+(D163*'5.Closing Stock &amp; W Capital'!$D$16))*$C212*E$174</f>
        <v>0</v>
      </c>
      <c r="F212" s="161">
        <f>((F163*(1-'5.Closing Stock &amp; W Capital'!$D$16))+(E163*'5.Closing Stock &amp; W Capital'!$D$16))*$C212*F$174</f>
        <v>0</v>
      </c>
      <c r="G212" s="161">
        <f>((G163*(1-'5.Closing Stock &amp; W Capital'!$D$16))+(F163*'5.Closing Stock &amp; W Capital'!$D$16))*$C212*G$174</f>
        <v>0</v>
      </c>
      <c r="H212" s="161">
        <f>((H163*(1-'5.Closing Stock &amp; W Capital'!$D$16))+(G163*'5.Closing Stock &amp; W Capital'!$D$16))*$C212*H$174</f>
        <v>0</v>
      </c>
      <c r="I212" s="161">
        <f>((I163*(1-'5.Closing Stock &amp; W Capital'!$D$16))+(H163*'5.Closing Stock &amp; W Capital'!$D$16))*$C212*I$174</f>
        <v>0</v>
      </c>
      <c r="J212" s="161">
        <f>((J163*(1-'5.Closing Stock &amp; W Capital'!$D$16))+(I163*'5.Closing Stock &amp; W Capital'!$D$16))*$C212*J$174</f>
        <v>0</v>
      </c>
      <c r="K212" s="68"/>
      <c r="L212" s="68"/>
      <c r="M212" s="68"/>
      <c r="N212" s="68"/>
      <c r="O212" s="68"/>
      <c r="P212" s="68"/>
      <c r="Q212" s="68"/>
      <c r="R212" s="68"/>
      <c r="S212" s="68"/>
    </row>
    <row r="213" spans="1:19" hidden="1">
      <c r="A213" s="71" t="str">
        <f t="shared" si="38"/>
        <v>Fenugreek</v>
      </c>
      <c r="B213" s="69" t="s">
        <v>365</v>
      </c>
      <c r="C213" s="580"/>
      <c r="D213" s="161">
        <f>(D164*(1-'5.Closing Stock &amp; W Capital'!$D$16))*$C213*D$174</f>
        <v>0</v>
      </c>
      <c r="E213" s="161">
        <f>((E164*(1-'5.Closing Stock &amp; W Capital'!$D$16))+(D164*'5.Closing Stock &amp; W Capital'!$D$16))*$C213*E$174</f>
        <v>0</v>
      </c>
      <c r="F213" s="161">
        <f>((F164*(1-'5.Closing Stock &amp; W Capital'!$D$16))+(E164*'5.Closing Stock &amp; W Capital'!$D$16))*$C213*F$174</f>
        <v>0</v>
      </c>
      <c r="G213" s="161">
        <f>((G164*(1-'5.Closing Stock &amp; W Capital'!$D$16))+(F164*'5.Closing Stock &amp; W Capital'!$D$16))*$C213*G$174</f>
        <v>0</v>
      </c>
      <c r="H213" s="161">
        <f>((H164*(1-'5.Closing Stock &amp; W Capital'!$D$16))+(G164*'5.Closing Stock &amp; W Capital'!$D$16))*$C213*H$174</f>
        <v>0</v>
      </c>
      <c r="I213" s="161">
        <f>((I164*(1-'5.Closing Stock &amp; W Capital'!$D$16))+(H164*'5.Closing Stock &amp; W Capital'!$D$16))*$C213*I$174</f>
        <v>0</v>
      </c>
      <c r="J213" s="161">
        <f>((J164*(1-'5.Closing Stock &amp; W Capital'!$D$16))+(I164*'5.Closing Stock &amp; W Capital'!$D$16))*$C213*J$174</f>
        <v>0</v>
      </c>
      <c r="K213" s="68"/>
      <c r="L213" s="68"/>
      <c r="M213" s="68"/>
      <c r="N213" s="68"/>
      <c r="O213" s="68"/>
      <c r="P213" s="68"/>
      <c r="Q213" s="68"/>
      <c r="R213" s="68"/>
      <c r="S213" s="68"/>
    </row>
    <row r="214" spans="1:19" hidden="1">
      <c r="A214" s="71" t="str">
        <f t="shared" si="38"/>
        <v>coriander</v>
      </c>
      <c r="B214" s="69" t="s">
        <v>365</v>
      </c>
      <c r="C214" s="580"/>
      <c r="D214" s="161">
        <f>(D165*(1-'5.Closing Stock &amp; W Capital'!$D$16))*$C214*D$174</f>
        <v>0</v>
      </c>
      <c r="E214" s="161">
        <f>((E165*(1-'5.Closing Stock &amp; W Capital'!$D$16))+(D165*'5.Closing Stock &amp; W Capital'!$D$16))*$C214*E$174</f>
        <v>0</v>
      </c>
      <c r="F214" s="161">
        <f>((F165*(1-'5.Closing Stock &amp; W Capital'!$D$16))+(E165*'5.Closing Stock &amp; W Capital'!$D$16))*$C214*F$174</f>
        <v>0</v>
      </c>
      <c r="G214" s="161">
        <f>((G165*(1-'5.Closing Stock &amp; W Capital'!$D$16))+(F165*'5.Closing Stock &amp; W Capital'!$D$16))*$C214*G$174</f>
        <v>0</v>
      </c>
      <c r="H214" s="161">
        <f>((H165*(1-'5.Closing Stock &amp; W Capital'!$D$16))+(G165*'5.Closing Stock &amp; W Capital'!$D$16))*$C214*H$174</f>
        <v>0</v>
      </c>
      <c r="I214" s="161">
        <f>((I165*(1-'5.Closing Stock &amp; W Capital'!$D$16))+(H165*'5.Closing Stock &amp; W Capital'!$D$16))*$C214*I$174</f>
        <v>0</v>
      </c>
      <c r="J214" s="161">
        <f>((J165*(1-'5.Closing Stock &amp; W Capital'!$D$16))+(I165*'5.Closing Stock &amp; W Capital'!$D$16))*$C214*J$174</f>
        <v>0</v>
      </c>
      <c r="K214" s="68"/>
      <c r="L214" s="68"/>
      <c r="M214" s="68"/>
      <c r="N214" s="68"/>
      <c r="O214" s="68"/>
      <c r="P214" s="68"/>
      <c r="Q214" s="68"/>
      <c r="R214" s="68"/>
      <c r="S214" s="68"/>
    </row>
    <row r="215" spans="1:19" hidden="1">
      <c r="A215" s="71" t="str">
        <f t="shared" si="38"/>
        <v>Shepu</v>
      </c>
      <c r="B215" s="69" t="s">
        <v>365</v>
      </c>
      <c r="C215" s="580"/>
      <c r="D215" s="161">
        <f>(D166*(1-'5.Closing Stock &amp; W Capital'!$D$16))*$C215*D$174</f>
        <v>0</v>
      </c>
      <c r="E215" s="161">
        <f>((E166*(1-'5.Closing Stock &amp; W Capital'!$D$16))+(D166*'5.Closing Stock &amp; W Capital'!$D$16))*$C215*E$174</f>
        <v>0</v>
      </c>
      <c r="F215" s="161">
        <f>((F166*(1-'5.Closing Stock &amp; W Capital'!$D$16))+(E166*'5.Closing Stock &amp; W Capital'!$D$16))*$C215*F$174</f>
        <v>0</v>
      </c>
      <c r="G215" s="161">
        <f>((G166*(1-'5.Closing Stock &amp; W Capital'!$D$16))+(F166*'5.Closing Stock &amp; W Capital'!$D$16))*$C215*G$174</f>
        <v>0</v>
      </c>
      <c r="H215" s="161">
        <f>((H166*(1-'5.Closing Stock &amp; W Capital'!$D$16))+(G166*'5.Closing Stock &amp; W Capital'!$D$16))*$C215*H$174</f>
        <v>0</v>
      </c>
      <c r="I215" s="161">
        <f>((I166*(1-'5.Closing Stock &amp; W Capital'!$D$16))+(H166*'5.Closing Stock &amp; W Capital'!$D$16))*$C215*I$174</f>
        <v>0</v>
      </c>
      <c r="J215" s="161">
        <f>((J166*(1-'5.Closing Stock &amp; W Capital'!$D$16))+(I166*'5.Closing Stock &amp; W Capital'!$D$16))*$C215*J$174</f>
        <v>0</v>
      </c>
      <c r="K215" s="68"/>
      <c r="L215" s="68"/>
      <c r="M215" s="68"/>
      <c r="N215" s="68"/>
      <c r="O215" s="68"/>
      <c r="P215" s="68"/>
      <c r="Q215" s="68"/>
      <c r="R215" s="68"/>
      <c r="S215" s="68"/>
    </row>
    <row r="216" spans="1:19" hidden="1">
      <c r="A216" s="71" t="str">
        <f t="shared" si="38"/>
        <v>Pomegranate</v>
      </c>
      <c r="B216" s="69" t="s">
        <v>365</v>
      </c>
      <c r="C216" s="580">
        <v>5000</v>
      </c>
      <c r="D216" s="161">
        <f>(D167*(1-'5.Closing Stock &amp; W Capital'!$D$16))*$C216*D$174</f>
        <v>0</v>
      </c>
      <c r="E216" s="161">
        <f>((E167*(1-'5.Closing Stock &amp; W Capital'!$D$16))+(D167*'5.Closing Stock &amp; W Capital'!$D$16))*$C216*E$174</f>
        <v>0</v>
      </c>
      <c r="F216" s="161">
        <f>((F167*(1-'5.Closing Stock &amp; W Capital'!$D$16))+(E167*'5.Closing Stock &amp; W Capital'!$D$16))*$C216*F$174</f>
        <v>0</v>
      </c>
      <c r="G216" s="161">
        <f>((G167*(1-'5.Closing Stock &amp; W Capital'!$D$16))+(F167*'5.Closing Stock &amp; W Capital'!$D$16))*$C216*G$174</f>
        <v>0</v>
      </c>
      <c r="H216" s="161">
        <f>((H167*(1-'5.Closing Stock &amp; W Capital'!$D$16))+(G167*'5.Closing Stock &amp; W Capital'!$D$16))*$C216*H$174</f>
        <v>0</v>
      </c>
      <c r="I216" s="161">
        <f>((I167*(1-'5.Closing Stock &amp; W Capital'!$D$16))+(H167*'5.Closing Stock &amp; W Capital'!$D$16))*$C216*I$174</f>
        <v>0</v>
      </c>
      <c r="J216" s="161">
        <f>((J167*(1-'5.Closing Stock &amp; W Capital'!$D$16))+(I167*'5.Closing Stock &amp; W Capital'!$D$16))*$C216*J$174</f>
        <v>0</v>
      </c>
      <c r="K216" s="68"/>
      <c r="L216" s="68"/>
      <c r="M216" s="68"/>
      <c r="N216" s="68"/>
      <c r="O216" s="68"/>
      <c r="P216" s="68"/>
      <c r="Q216" s="68"/>
      <c r="R216" s="68"/>
      <c r="S216" s="68"/>
    </row>
    <row r="217" spans="1:19" hidden="1">
      <c r="A217" s="71" t="str">
        <f t="shared" si="38"/>
        <v>Banana</v>
      </c>
      <c r="B217" s="69" t="s">
        <v>365</v>
      </c>
      <c r="C217" s="580"/>
      <c r="D217" s="161">
        <f>(D168*(1-'5.Closing Stock &amp; W Capital'!$D$16))*$C217*D$174</f>
        <v>0</v>
      </c>
      <c r="E217" s="161">
        <f>((E168*(1-'5.Closing Stock &amp; W Capital'!$D$16))+(D168*'5.Closing Stock &amp; W Capital'!$D$16))*$C217*E$174</f>
        <v>0</v>
      </c>
      <c r="F217" s="161">
        <f>((F168*(1-'5.Closing Stock &amp; W Capital'!$D$16))+(E168*'5.Closing Stock &amp; W Capital'!$D$16))*$C217*F$174</f>
        <v>0</v>
      </c>
      <c r="G217" s="161">
        <f>((G168*(1-'5.Closing Stock &amp; W Capital'!$D$16))+(F168*'5.Closing Stock &amp; W Capital'!$D$16))*$C217*G$174</f>
        <v>0</v>
      </c>
      <c r="H217" s="161">
        <f>((H168*(1-'5.Closing Stock &amp; W Capital'!$D$16))+(G168*'5.Closing Stock &amp; W Capital'!$D$16))*$C217*H$174</f>
        <v>0</v>
      </c>
      <c r="I217" s="161">
        <f>((I168*(1-'5.Closing Stock &amp; W Capital'!$D$16))+(H168*'5.Closing Stock &amp; W Capital'!$D$16))*$C217*I$174</f>
        <v>0</v>
      </c>
      <c r="J217" s="161">
        <f>((J168*(1-'5.Closing Stock &amp; W Capital'!$D$16))+(I168*'5.Closing Stock &amp; W Capital'!$D$16))*$C217*J$174</f>
        <v>0</v>
      </c>
      <c r="K217" s="68"/>
      <c r="L217" s="68"/>
      <c r="M217" s="68"/>
      <c r="N217" s="68"/>
      <c r="O217" s="68"/>
      <c r="P217" s="68"/>
      <c r="Q217" s="68"/>
      <c r="R217" s="68"/>
      <c r="S217" s="68"/>
    </row>
    <row r="218" spans="1:19" hidden="1">
      <c r="A218" s="71" t="str">
        <f t="shared" si="38"/>
        <v>Graps</v>
      </c>
      <c r="B218" s="69" t="s">
        <v>365</v>
      </c>
      <c r="C218" s="580"/>
      <c r="D218" s="161">
        <f>(D169*(1-'5.Closing Stock &amp; W Capital'!$D$16))*$C218*D$174</f>
        <v>0</v>
      </c>
      <c r="E218" s="161">
        <f>((E169*(1-'5.Closing Stock &amp; W Capital'!$D$16))+(D169*'5.Closing Stock &amp; W Capital'!$D$16))*$C218*E$174</f>
        <v>0</v>
      </c>
      <c r="F218" s="161">
        <f>((F169*(1-'5.Closing Stock &amp; W Capital'!$D$16))+(E169*'5.Closing Stock &amp; W Capital'!$D$16))*$C218*F$174</f>
        <v>0</v>
      </c>
      <c r="G218" s="161">
        <f>((G169*(1-'5.Closing Stock &amp; W Capital'!$D$16))+(F169*'5.Closing Stock &amp; W Capital'!$D$16))*$C218*G$174</f>
        <v>0</v>
      </c>
      <c r="H218" s="161">
        <f>((H169*(1-'5.Closing Stock &amp; W Capital'!$D$16))+(G169*'5.Closing Stock &amp; W Capital'!$D$16))*$C218*H$174</f>
        <v>0</v>
      </c>
      <c r="I218" s="161">
        <f>((I169*(1-'5.Closing Stock &amp; W Capital'!$D$16))+(H169*'5.Closing Stock &amp; W Capital'!$D$16))*$C218*I$174</f>
        <v>0</v>
      </c>
      <c r="J218" s="161">
        <f>((J169*(1-'5.Closing Stock &amp; W Capital'!$D$16))+(I169*'5.Closing Stock &amp; W Capital'!$D$16))*$C218*J$174</f>
        <v>0</v>
      </c>
      <c r="K218" s="68"/>
      <c r="L218" s="68"/>
      <c r="M218" s="68"/>
      <c r="N218" s="68"/>
      <c r="O218" s="68"/>
      <c r="P218" s="68"/>
      <c r="Q218" s="68"/>
      <c r="R218" s="68"/>
      <c r="S218" s="68"/>
    </row>
    <row r="219" spans="1:19" hidden="1">
      <c r="A219" s="71" t="str">
        <f t="shared" si="38"/>
        <v>Citrus</v>
      </c>
      <c r="B219" s="69" t="s">
        <v>365</v>
      </c>
      <c r="C219" s="580"/>
      <c r="D219" s="161">
        <f>(D170*(1-'5.Closing Stock &amp; W Capital'!$D$16))*$C219*D$174</f>
        <v>0</v>
      </c>
      <c r="E219" s="161">
        <f>((E170*(1-'5.Closing Stock &amp; W Capital'!$D$16))+(D170*'5.Closing Stock &amp; W Capital'!$D$16))*$C219*E$174</f>
        <v>0</v>
      </c>
      <c r="F219" s="161">
        <f>((F170*(1-'5.Closing Stock &amp; W Capital'!$D$16))+(E170*'5.Closing Stock &amp; W Capital'!$D$16))*$C219*F$174</f>
        <v>0</v>
      </c>
      <c r="G219" s="161">
        <f>((G170*(1-'5.Closing Stock &amp; W Capital'!$D$16))+(F170*'5.Closing Stock &amp; W Capital'!$D$16))*$C219*G$174</f>
        <v>0</v>
      </c>
      <c r="H219" s="161">
        <f>((H170*(1-'5.Closing Stock &amp; W Capital'!$D$16))+(G170*'5.Closing Stock &amp; W Capital'!$D$16))*$C219*H$174</f>
        <v>0</v>
      </c>
      <c r="I219" s="161">
        <f>((I170*(1-'5.Closing Stock &amp; W Capital'!$D$16))+(H170*'5.Closing Stock &amp; W Capital'!$D$16))*$C219*I$174</f>
        <v>0</v>
      </c>
      <c r="J219" s="161">
        <f>((J170*(1-'5.Closing Stock &amp; W Capital'!$D$16))+(I170*'5.Closing Stock &amp; W Capital'!$D$16))*$C219*J$174</f>
        <v>0</v>
      </c>
      <c r="K219" s="68"/>
      <c r="L219" s="68"/>
      <c r="M219" s="68"/>
      <c r="N219" s="68"/>
      <c r="O219" s="68"/>
      <c r="P219" s="68"/>
      <c r="Q219" s="68"/>
      <c r="R219" s="68"/>
      <c r="S219" s="68"/>
    </row>
    <row r="220" spans="1:19">
      <c r="A220" s="71"/>
      <c r="B220" s="71"/>
      <c r="C220" s="71"/>
      <c r="D220" s="69"/>
      <c r="E220" s="69"/>
      <c r="F220" s="69"/>
      <c r="G220" s="69"/>
      <c r="H220" s="69"/>
      <c r="I220" s="69"/>
      <c r="J220" s="69"/>
      <c r="K220" s="68"/>
      <c r="L220" s="68"/>
      <c r="M220" s="68"/>
      <c r="N220" s="68"/>
      <c r="O220" s="68"/>
      <c r="P220" s="68"/>
      <c r="Q220" s="68"/>
      <c r="R220" s="68"/>
      <c r="S220" s="68"/>
    </row>
    <row r="221" spans="1:19">
      <c r="A221" s="71" t="s">
        <v>143</v>
      </c>
      <c r="B221" s="71"/>
      <c r="C221" s="71"/>
      <c r="D221" s="163">
        <f t="shared" ref="D221:J221" si="39">SUM(D180:D220)</f>
        <v>5473757.6428499995</v>
      </c>
      <c r="E221" s="163">
        <f t="shared" si="39"/>
        <v>5950121.4271500744</v>
      </c>
      <c r="F221" s="163">
        <f t="shared" si="39"/>
        <v>6788029.5218665898</v>
      </c>
      <c r="G221" s="163">
        <f t="shared" si="39"/>
        <v>7723534.6993910624</v>
      </c>
      <c r="H221" s="163">
        <f t="shared" si="39"/>
        <v>8735620.3208633158</v>
      </c>
      <c r="I221" s="163">
        <f t="shared" si="39"/>
        <v>9829605.6677343119</v>
      </c>
      <c r="J221" s="163">
        <f t="shared" si="39"/>
        <v>11011150.498490252</v>
      </c>
      <c r="K221" s="68"/>
      <c r="L221" s="68"/>
      <c r="M221" s="68"/>
      <c r="N221" s="68"/>
      <c r="O221" s="68"/>
      <c r="P221" s="68"/>
      <c r="Q221" s="68"/>
      <c r="R221" s="68"/>
      <c r="S221" s="68"/>
    </row>
    <row r="222" spans="1:19" hidden="1">
      <c r="A222" s="436"/>
      <c r="B222" s="436"/>
      <c r="C222" s="436"/>
      <c r="D222" s="436"/>
      <c r="E222" s="436"/>
      <c r="F222" s="436"/>
      <c r="G222" s="436"/>
      <c r="H222" s="436"/>
      <c r="I222" s="436"/>
      <c r="J222" s="436"/>
      <c r="K222" s="68"/>
      <c r="L222" s="68"/>
      <c r="M222" s="68"/>
      <c r="N222" s="68"/>
      <c r="O222" s="68"/>
      <c r="P222" s="68"/>
      <c r="Q222" s="68"/>
      <c r="R222" s="68"/>
      <c r="S222" s="68"/>
    </row>
    <row r="223" spans="1:19" hidden="1">
      <c r="A223" s="59" t="s">
        <v>0</v>
      </c>
      <c r="B223" s="59"/>
      <c r="C223" s="582" t="s">
        <v>153</v>
      </c>
      <c r="D223" s="583" t="s">
        <v>2</v>
      </c>
      <c r="E223" s="60" t="s">
        <v>3</v>
      </c>
      <c r="F223" s="60" t="s">
        <v>4</v>
      </c>
      <c r="G223" s="60" t="s">
        <v>5</v>
      </c>
      <c r="H223" s="60" t="s">
        <v>6</v>
      </c>
      <c r="I223" s="60" t="s">
        <v>170</v>
      </c>
      <c r="J223" s="60" t="s">
        <v>169</v>
      </c>
      <c r="K223" s="68"/>
      <c r="L223" s="68"/>
      <c r="M223" s="68"/>
      <c r="N223" s="68"/>
      <c r="O223" s="68"/>
      <c r="P223" s="68"/>
      <c r="Q223" s="68"/>
      <c r="R223" s="68"/>
      <c r="S223" s="68"/>
    </row>
    <row r="224" spans="1:19">
      <c r="A224" s="71" t="s">
        <v>142</v>
      </c>
      <c r="B224" s="71"/>
      <c r="C224" s="71"/>
      <c r="D224" s="69"/>
      <c r="E224" s="69"/>
      <c r="F224" s="69"/>
      <c r="G224" s="69"/>
      <c r="H224" s="69"/>
      <c r="I224" s="69"/>
      <c r="J224" s="69"/>
      <c r="K224" s="68"/>
      <c r="L224" s="68"/>
      <c r="M224" s="68"/>
      <c r="N224" s="68"/>
      <c r="O224" s="68"/>
      <c r="P224" s="68"/>
      <c r="Q224" s="68"/>
      <c r="R224" s="68"/>
      <c r="S224" s="68"/>
    </row>
    <row r="225" spans="1:19">
      <c r="A225" s="71" t="s">
        <v>314</v>
      </c>
      <c r="B225" s="71"/>
      <c r="C225" s="69"/>
      <c r="D225" s="69"/>
      <c r="E225" s="69"/>
      <c r="F225" s="69"/>
      <c r="G225" s="69"/>
      <c r="H225" s="69"/>
      <c r="I225" s="69"/>
      <c r="J225" s="69"/>
      <c r="K225" s="68"/>
      <c r="L225" s="68"/>
      <c r="M225" s="68"/>
      <c r="N225" s="68"/>
      <c r="O225" s="68"/>
      <c r="P225" s="68"/>
      <c r="Q225" s="68"/>
      <c r="R225" s="68"/>
      <c r="S225" s="68"/>
    </row>
    <row r="226" spans="1:19">
      <c r="A226" s="69" t="s">
        <v>164</v>
      </c>
      <c r="B226" s="69" t="s">
        <v>365</v>
      </c>
      <c r="C226" s="159">
        <v>5000</v>
      </c>
      <c r="D226" s="159">
        <f>'13.Facility 2 - Besan'!D70*$C$226*D174</f>
        <v>2838055.5</v>
      </c>
      <c r="E226" s="159">
        <f>'13.Facility 2 - Besan'!E70*$C$226*E174</f>
        <v>2950158.6922499998</v>
      </c>
      <c r="F226" s="159">
        <f>'13.Facility 2 - Besan'!F70*$C$226*F174</f>
        <v>3379272.6838500001</v>
      </c>
      <c r="G226" s="159">
        <f>'13.Facility 2 - Besan'!G70*$C$226*G174</f>
        <v>3843922.6778793763</v>
      </c>
      <c r="H226" s="159">
        <f>'13.Facility 2 - Besan'!H70*$C$226*H174</f>
        <v>4346589.4896020647</v>
      </c>
      <c r="I226" s="159">
        <f>'13.Facility 2 - Besan'!I70*$C$226*I174</f>
        <v>4889913.175802323</v>
      </c>
      <c r="J226" s="159">
        <f>'13.Facility 2 - Besan'!J70*$C$226*J174</f>
        <v>5476702.7568986006</v>
      </c>
      <c r="K226" s="68"/>
      <c r="L226" s="68"/>
      <c r="M226" s="68"/>
      <c r="N226" s="68"/>
      <c r="O226" s="68"/>
      <c r="P226" s="68"/>
      <c r="Q226" s="68"/>
      <c r="R226" s="68"/>
      <c r="S226" s="68">
        <v>6900</v>
      </c>
    </row>
    <row r="227" spans="1:19" hidden="1">
      <c r="A227" s="69" t="str">
        <f t="shared" ref="A227:A236" si="40">A182</f>
        <v>Maize</v>
      </c>
      <c r="B227" s="69" t="s">
        <v>365</v>
      </c>
      <c r="C227" s="584">
        <v>1400</v>
      </c>
      <c r="D227" s="159">
        <f t="shared" ref="D227:J227" si="41">D81*$C$227*D$174</f>
        <v>0</v>
      </c>
      <c r="E227" s="70">
        <f t="shared" si="41"/>
        <v>0</v>
      </c>
      <c r="F227" s="70">
        <f t="shared" si="41"/>
        <v>0</v>
      </c>
      <c r="G227" s="70">
        <f t="shared" si="41"/>
        <v>0</v>
      </c>
      <c r="H227" s="70">
        <f t="shared" si="41"/>
        <v>0</v>
      </c>
      <c r="I227" s="70">
        <f t="shared" si="41"/>
        <v>0</v>
      </c>
      <c r="J227" s="70">
        <f t="shared" si="41"/>
        <v>0</v>
      </c>
      <c r="K227" s="68"/>
      <c r="L227" s="68"/>
      <c r="M227" s="68"/>
      <c r="N227" s="68"/>
      <c r="O227" s="68"/>
      <c r="P227" s="68"/>
      <c r="Q227" s="68"/>
      <c r="R227" s="68"/>
      <c r="S227" s="83">
        <v>1400</v>
      </c>
    </row>
    <row r="228" spans="1:19" hidden="1">
      <c r="A228" s="69" t="str">
        <f t="shared" si="40"/>
        <v>Safflower</v>
      </c>
      <c r="B228" s="69" t="s">
        <v>365</v>
      </c>
      <c r="C228" s="584"/>
      <c r="D228" s="159">
        <f t="shared" ref="D228:J228" si="42">D82*$C$228*D$174</f>
        <v>0</v>
      </c>
      <c r="E228" s="70">
        <f t="shared" si="42"/>
        <v>0</v>
      </c>
      <c r="F228" s="70">
        <f t="shared" si="42"/>
        <v>0</v>
      </c>
      <c r="G228" s="70">
        <f t="shared" si="42"/>
        <v>0</v>
      </c>
      <c r="H228" s="70">
        <f t="shared" si="42"/>
        <v>0</v>
      </c>
      <c r="I228" s="70">
        <f t="shared" si="42"/>
        <v>0</v>
      </c>
      <c r="J228" s="70">
        <f t="shared" si="42"/>
        <v>0</v>
      </c>
      <c r="K228" s="68"/>
      <c r="L228" s="68"/>
      <c r="M228" s="68"/>
      <c r="N228" s="68"/>
      <c r="O228" s="68"/>
      <c r="P228" s="68"/>
      <c r="Q228" s="68"/>
      <c r="R228" s="68"/>
      <c r="S228" s="68"/>
    </row>
    <row r="229" spans="1:19" hidden="1">
      <c r="A229" s="69">
        <f t="shared" si="40"/>
        <v>0</v>
      </c>
      <c r="B229" s="69" t="s">
        <v>365</v>
      </c>
      <c r="C229" s="584"/>
      <c r="D229" s="159">
        <f t="shared" ref="D229:J229" si="43">D83*$C$229*D$174</f>
        <v>0</v>
      </c>
      <c r="E229" s="70">
        <f t="shared" si="43"/>
        <v>0</v>
      </c>
      <c r="F229" s="70">
        <f t="shared" si="43"/>
        <v>0</v>
      </c>
      <c r="G229" s="70">
        <f t="shared" si="43"/>
        <v>0</v>
      </c>
      <c r="H229" s="70">
        <f t="shared" si="43"/>
        <v>0</v>
      </c>
      <c r="I229" s="70">
        <f t="shared" si="43"/>
        <v>0</v>
      </c>
      <c r="J229" s="70">
        <f t="shared" si="43"/>
        <v>0</v>
      </c>
      <c r="K229" s="68"/>
      <c r="L229" s="68"/>
      <c r="M229" s="68"/>
      <c r="N229" s="68"/>
      <c r="O229" s="68"/>
      <c r="P229" s="68"/>
      <c r="Q229" s="68"/>
      <c r="R229" s="68"/>
      <c r="S229" s="68"/>
    </row>
    <row r="230" spans="1:19" hidden="1">
      <c r="A230" s="69">
        <f t="shared" si="40"/>
        <v>0</v>
      </c>
      <c r="B230" s="69" t="s">
        <v>365</v>
      </c>
      <c r="C230" s="584"/>
      <c r="D230" s="159">
        <f t="shared" ref="D230:J230" si="44">D84*$C$230*D$174</f>
        <v>0</v>
      </c>
      <c r="E230" s="70">
        <f t="shared" si="44"/>
        <v>0</v>
      </c>
      <c r="F230" s="70">
        <f t="shared" si="44"/>
        <v>0</v>
      </c>
      <c r="G230" s="70">
        <f t="shared" si="44"/>
        <v>0</v>
      </c>
      <c r="H230" s="70">
        <f t="shared" si="44"/>
        <v>0</v>
      </c>
      <c r="I230" s="70">
        <f t="shared" si="44"/>
        <v>0</v>
      </c>
      <c r="J230" s="70">
        <f t="shared" si="44"/>
        <v>0</v>
      </c>
      <c r="K230" s="68"/>
      <c r="L230" s="68"/>
      <c r="M230" s="68"/>
      <c r="N230" s="68"/>
      <c r="O230" s="68"/>
      <c r="P230" s="68"/>
      <c r="Q230" s="68"/>
      <c r="R230" s="68"/>
      <c r="S230" s="68"/>
    </row>
    <row r="231" spans="1:19" hidden="1">
      <c r="A231" s="69">
        <f t="shared" si="40"/>
        <v>0</v>
      </c>
      <c r="B231" s="69" t="s">
        <v>365</v>
      </c>
      <c r="C231" s="584"/>
      <c r="D231" s="159">
        <f t="shared" ref="D231:J236" si="45">D85*$C231*D$174</f>
        <v>0</v>
      </c>
      <c r="E231" s="70">
        <f t="shared" si="45"/>
        <v>0</v>
      </c>
      <c r="F231" s="70">
        <f t="shared" si="45"/>
        <v>0</v>
      </c>
      <c r="G231" s="70">
        <f t="shared" si="45"/>
        <v>0</v>
      </c>
      <c r="H231" s="70">
        <f t="shared" si="45"/>
        <v>0</v>
      </c>
      <c r="I231" s="70">
        <f t="shared" si="45"/>
        <v>0</v>
      </c>
      <c r="J231" s="70">
        <f t="shared" si="45"/>
        <v>0</v>
      </c>
      <c r="K231" s="68"/>
      <c r="L231" s="68"/>
      <c r="M231" s="68"/>
      <c r="N231" s="68"/>
      <c r="O231" s="68"/>
      <c r="P231" s="68"/>
      <c r="Q231" s="68"/>
      <c r="R231" s="68"/>
      <c r="S231" s="68"/>
    </row>
    <row r="232" spans="1:19" hidden="1">
      <c r="A232" s="69" t="str">
        <f t="shared" si="40"/>
        <v>Groundnut</v>
      </c>
      <c r="B232" s="69" t="s">
        <v>365</v>
      </c>
      <c r="C232" s="584"/>
      <c r="D232" s="159">
        <f t="shared" si="45"/>
        <v>0</v>
      </c>
      <c r="E232" s="70">
        <f t="shared" si="45"/>
        <v>0</v>
      </c>
      <c r="F232" s="70">
        <f t="shared" si="45"/>
        <v>0</v>
      </c>
      <c r="G232" s="70">
        <f t="shared" si="45"/>
        <v>0</v>
      </c>
      <c r="H232" s="70">
        <f t="shared" si="45"/>
        <v>0</v>
      </c>
      <c r="I232" s="70">
        <f t="shared" si="45"/>
        <v>0</v>
      </c>
      <c r="J232" s="70">
        <f t="shared" si="45"/>
        <v>0</v>
      </c>
      <c r="K232" s="68"/>
      <c r="L232" s="68"/>
      <c r="M232" s="68"/>
      <c r="N232" s="68"/>
      <c r="O232" s="68"/>
      <c r="P232" s="68"/>
      <c r="Q232" s="68"/>
      <c r="R232" s="68"/>
      <c r="S232" s="68"/>
    </row>
    <row r="233" spans="1:19" hidden="1">
      <c r="A233" s="69">
        <f t="shared" si="40"/>
        <v>0</v>
      </c>
      <c r="B233" s="69" t="s">
        <v>365</v>
      </c>
      <c r="C233" s="584"/>
      <c r="D233" s="159">
        <f t="shared" si="45"/>
        <v>0</v>
      </c>
      <c r="E233" s="70">
        <f t="shared" si="45"/>
        <v>0</v>
      </c>
      <c r="F233" s="70">
        <f t="shared" si="45"/>
        <v>0</v>
      </c>
      <c r="G233" s="70">
        <f t="shared" si="45"/>
        <v>0</v>
      </c>
      <c r="H233" s="70">
        <f t="shared" si="45"/>
        <v>0</v>
      </c>
      <c r="I233" s="70">
        <f t="shared" si="45"/>
        <v>0</v>
      </c>
      <c r="J233" s="70">
        <f t="shared" si="45"/>
        <v>0</v>
      </c>
      <c r="K233" s="68"/>
      <c r="L233" s="68"/>
      <c r="M233" s="68"/>
      <c r="N233" s="68"/>
      <c r="O233" s="68"/>
      <c r="P233" s="68"/>
      <c r="Q233" s="68"/>
      <c r="R233" s="68"/>
      <c r="S233" s="68"/>
    </row>
    <row r="234" spans="1:19" hidden="1">
      <c r="A234" s="69">
        <f t="shared" si="40"/>
        <v>0</v>
      </c>
      <c r="B234" s="69" t="s">
        <v>365</v>
      </c>
      <c r="C234" s="584"/>
      <c r="D234" s="159">
        <f t="shared" si="45"/>
        <v>0</v>
      </c>
      <c r="E234" s="70">
        <f t="shared" si="45"/>
        <v>0</v>
      </c>
      <c r="F234" s="70">
        <f t="shared" si="45"/>
        <v>0</v>
      </c>
      <c r="G234" s="70">
        <f t="shared" si="45"/>
        <v>0</v>
      </c>
      <c r="H234" s="70">
        <f t="shared" si="45"/>
        <v>0</v>
      </c>
      <c r="I234" s="70">
        <f t="shared" si="45"/>
        <v>0</v>
      </c>
      <c r="J234" s="70">
        <f t="shared" si="45"/>
        <v>0</v>
      </c>
      <c r="K234" s="68"/>
      <c r="L234" s="68"/>
      <c r="M234" s="68"/>
      <c r="N234" s="68"/>
      <c r="O234" s="68"/>
      <c r="P234" s="68"/>
      <c r="Q234" s="68"/>
      <c r="R234" s="68"/>
      <c r="S234" s="68"/>
    </row>
    <row r="235" spans="1:19" hidden="1">
      <c r="A235" s="69">
        <f t="shared" si="40"/>
        <v>0</v>
      </c>
      <c r="B235" s="69" t="s">
        <v>365</v>
      </c>
      <c r="C235" s="584"/>
      <c r="D235" s="159">
        <f t="shared" si="45"/>
        <v>0</v>
      </c>
      <c r="E235" s="70">
        <f t="shared" si="45"/>
        <v>0</v>
      </c>
      <c r="F235" s="70">
        <f t="shared" si="45"/>
        <v>0</v>
      </c>
      <c r="G235" s="70">
        <f t="shared" si="45"/>
        <v>0</v>
      </c>
      <c r="H235" s="70">
        <f t="shared" si="45"/>
        <v>0</v>
      </c>
      <c r="I235" s="70">
        <f t="shared" si="45"/>
        <v>0</v>
      </c>
      <c r="J235" s="70">
        <f t="shared" si="45"/>
        <v>0</v>
      </c>
      <c r="K235" s="68"/>
      <c r="L235" s="68"/>
      <c r="M235" s="68"/>
      <c r="N235" s="68"/>
      <c r="O235" s="68"/>
      <c r="P235" s="68"/>
      <c r="Q235" s="68"/>
      <c r="R235" s="68"/>
      <c r="S235" s="68"/>
    </row>
    <row r="236" spans="1:19" hidden="1">
      <c r="A236" s="69">
        <f t="shared" si="40"/>
        <v>0</v>
      </c>
      <c r="B236" s="69" t="s">
        <v>365</v>
      </c>
      <c r="C236" s="584"/>
      <c r="D236" s="159">
        <f t="shared" si="45"/>
        <v>0</v>
      </c>
      <c r="E236" s="70">
        <f t="shared" si="45"/>
        <v>0</v>
      </c>
      <c r="F236" s="70">
        <f t="shared" si="45"/>
        <v>0</v>
      </c>
      <c r="G236" s="70">
        <f t="shared" si="45"/>
        <v>0</v>
      </c>
      <c r="H236" s="70">
        <f t="shared" si="45"/>
        <v>0</v>
      </c>
      <c r="I236" s="70">
        <f t="shared" si="45"/>
        <v>0</v>
      </c>
      <c r="J236" s="70">
        <f t="shared" si="45"/>
        <v>0</v>
      </c>
      <c r="K236" s="68"/>
      <c r="L236" s="68"/>
      <c r="M236" s="68"/>
      <c r="N236" s="68"/>
      <c r="O236" s="68"/>
      <c r="P236" s="68"/>
      <c r="Q236" s="68"/>
      <c r="R236" s="68"/>
      <c r="S236" s="68"/>
    </row>
    <row r="237" spans="1:19" ht="29.25" hidden="1">
      <c r="A237" s="160" t="str">
        <f t="shared" ref="A237:A255" si="46">A194</f>
        <v>Fruit  &amp; Vegetables Crop Production Details</v>
      </c>
      <c r="B237" s="69"/>
      <c r="C237" s="159"/>
      <c r="D237" s="159"/>
      <c r="E237" s="70"/>
      <c r="F237" s="70"/>
      <c r="G237" s="70"/>
      <c r="H237" s="70"/>
      <c r="I237" s="70"/>
      <c r="J237" s="70"/>
      <c r="K237" s="68"/>
      <c r="L237" s="68"/>
      <c r="M237" s="68"/>
      <c r="N237" s="68"/>
      <c r="O237" s="68"/>
      <c r="P237" s="68"/>
      <c r="Q237" s="68"/>
      <c r="R237" s="68"/>
      <c r="S237" s="68"/>
    </row>
    <row r="238" spans="1:19" hidden="1">
      <c r="A238" s="69" t="str">
        <f t="shared" si="46"/>
        <v>Exotic Vegitables</v>
      </c>
      <c r="B238" s="69" t="s">
        <v>365</v>
      </c>
      <c r="C238" s="159">
        <v>1800</v>
      </c>
      <c r="D238" s="159">
        <f t="shared" ref="D238:J247" si="47">D93*$C238*D$174</f>
        <v>0</v>
      </c>
      <c r="E238" s="70">
        <f t="shared" si="47"/>
        <v>0</v>
      </c>
      <c r="F238" s="70">
        <f t="shared" si="47"/>
        <v>0</v>
      </c>
      <c r="G238" s="70">
        <f t="shared" si="47"/>
        <v>0</v>
      </c>
      <c r="H238" s="70">
        <f t="shared" si="47"/>
        <v>0</v>
      </c>
      <c r="I238" s="70">
        <f t="shared" si="47"/>
        <v>0</v>
      </c>
      <c r="J238" s="70">
        <f t="shared" si="47"/>
        <v>0</v>
      </c>
      <c r="K238" s="68"/>
      <c r="L238" s="68"/>
      <c r="M238" s="68"/>
      <c r="N238" s="68"/>
      <c r="O238" s="68"/>
      <c r="P238" s="68"/>
      <c r="Q238" s="68"/>
      <c r="R238" s="68"/>
      <c r="S238" s="68"/>
    </row>
    <row r="239" spans="1:19" hidden="1">
      <c r="A239" s="69" t="str">
        <f t="shared" si="46"/>
        <v>Tomato</v>
      </c>
      <c r="B239" s="69" t="s">
        <v>365</v>
      </c>
      <c r="C239" s="159">
        <v>800</v>
      </c>
      <c r="D239" s="159">
        <f t="shared" si="47"/>
        <v>0</v>
      </c>
      <c r="E239" s="70">
        <f t="shared" si="47"/>
        <v>0</v>
      </c>
      <c r="F239" s="70">
        <f t="shared" si="47"/>
        <v>0</v>
      </c>
      <c r="G239" s="70">
        <f t="shared" si="47"/>
        <v>0</v>
      </c>
      <c r="H239" s="70">
        <f t="shared" si="47"/>
        <v>0</v>
      </c>
      <c r="I239" s="70">
        <f t="shared" si="47"/>
        <v>0</v>
      </c>
      <c r="J239" s="70">
        <f t="shared" si="47"/>
        <v>0</v>
      </c>
      <c r="K239" s="68"/>
      <c r="L239" s="68"/>
      <c r="M239" s="68"/>
      <c r="N239" s="68"/>
      <c r="O239" s="68"/>
      <c r="P239" s="68"/>
      <c r="Q239" s="68"/>
      <c r="R239" s="68"/>
      <c r="S239" s="68"/>
    </row>
    <row r="240" spans="1:19" hidden="1">
      <c r="A240" s="69" t="str">
        <f t="shared" si="46"/>
        <v>Okra</v>
      </c>
      <c r="B240" s="69" t="s">
        <v>365</v>
      </c>
      <c r="C240" s="159">
        <v>1300</v>
      </c>
      <c r="D240" s="159">
        <f t="shared" si="47"/>
        <v>0</v>
      </c>
      <c r="E240" s="70">
        <f t="shared" si="47"/>
        <v>0</v>
      </c>
      <c r="F240" s="70">
        <f t="shared" si="47"/>
        <v>0</v>
      </c>
      <c r="G240" s="70">
        <f t="shared" si="47"/>
        <v>0</v>
      </c>
      <c r="H240" s="70">
        <f t="shared" si="47"/>
        <v>0</v>
      </c>
      <c r="I240" s="70">
        <f t="shared" si="47"/>
        <v>0</v>
      </c>
      <c r="J240" s="70">
        <f t="shared" si="47"/>
        <v>0</v>
      </c>
      <c r="K240" s="68"/>
      <c r="L240" s="68"/>
      <c r="M240" s="68"/>
      <c r="N240" s="68"/>
      <c r="O240" s="68"/>
      <c r="P240" s="68"/>
      <c r="Q240" s="68"/>
      <c r="R240" s="68"/>
      <c r="S240" s="68"/>
    </row>
    <row r="241" spans="1:19" hidden="1">
      <c r="A241" s="69" t="str">
        <f t="shared" si="46"/>
        <v>Chilli</v>
      </c>
      <c r="B241" s="69" t="s">
        <v>365</v>
      </c>
      <c r="C241" s="159">
        <v>2800</v>
      </c>
      <c r="D241" s="159">
        <f t="shared" si="47"/>
        <v>0</v>
      </c>
      <c r="E241" s="70">
        <f t="shared" si="47"/>
        <v>0</v>
      </c>
      <c r="F241" s="70">
        <f t="shared" si="47"/>
        <v>0</v>
      </c>
      <c r="G241" s="70">
        <f t="shared" si="47"/>
        <v>0</v>
      </c>
      <c r="H241" s="70">
        <f t="shared" si="47"/>
        <v>0</v>
      </c>
      <c r="I241" s="70">
        <f t="shared" si="47"/>
        <v>0</v>
      </c>
      <c r="J241" s="70">
        <f t="shared" si="47"/>
        <v>0</v>
      </c>
      <c r="K241" s="68"/>
      <c r="L241" s="68"/>
      <c r="M241" s="68"/>
      <c r="N241" s="68"/>
      <c r="O241" s="68"/>
      <c r="P241" s="68"/>
      <c r="Q241" s="68"/>
      <c r="R241" s="68"/>
      <c r="S241" s="68"/>
    </row>
    <row r="242" spans="1:19" hidden="1">
      <c r="A242" s="69" t="str">
        <f t="shared" si="46"/>
        <v>Potato</v>
      </c>
      <c r="B242" s="69" t="s">
        <v>365</v>
      </c>
      <c r="C242" s="159">
        <v>1300</v>
      </c>
      <c r="D242" s="159">
        <f t="shared" si="47"/>
        <v>0</v>
      </c>
      <c r="E242" s="70">
        <f t="shared" si="47"/>
        <v>0</v>
      </c>
      <c r="F242" s="70">
        <f t="shared" si="47"/>
        <v>0</v>
      </c>
      <c r="G242" s="70">
        <f t="shared" si="47"/>
        <v>0</v>
      </c>
      <c r="H242" s="70">
        <f t="shared" si="47"/>
        <v>0</v>
      </c>
      <c r="I242" s="70">
        <f t="shared" si="47"/>
        <v>0</v>
      </c>
      <c r="J242" s="70">
        <f t="shared" si="47"/>
        <v>0</v>
      </c>
      <c r="K242" s="68"/>
      <c r="L242" s="68"/>
      <c r="M242" s="68"/>
      <c r="N242" s="68"/>
      <c r="O242" s="68"/>
      <c r="P242" s="68"/>
      <c r="Q242" s="68"/>
      <c r="R242" s="68"/>
      <c r="S242" s="68"/>
    </row>
    <row r="243" spans="1:19" hidden="1">
      <c r="A243" s="69" t="str">
        <f t="shared" si="46"/>
        <v>Cabbage</v>
      </c>
      <c r="B243" s="69" t="s">
        <v>365</v>
      </c>
      <c r="C243" s="159"/>
      <c r="D243" s="159">
        <f t="shared" si="47"/>
        <v>0</v>
      </c>
      <c r="E243" s="70">
        <f t="shared" si="47"/>
        <v>0</v>
      </c>
      <c r="F243" s="70">
        <f t="shared" si="47"/>
        <v>0</v>
      </c>
      <c r="G243" s="70">
        <f t="shared" si="47"/>
        <v>0</v>
      </c>
      <c r="H243" s="70">
        <f t="shared" si="47"/>
        <v>0</v>
      </c>
      <c r="I243" s="70">
        <f t="shared" si="47"/>
        <v>0</v>
      </c>
      <c r="J243" s="70">
        <f t="shared" si="47"/>
        <v>0</v>
      </c>
      <c r="K243" s="68"/>
      <c r="L243" s="68"/>
      <c r="M243" s="68"/>
      <c r="N243" s="68"/>
      <c r="O243" s="68"/>
      <c r="P243" s="68"/>
      <c r="Q243" s="68"/>
      <c r="R243" s="68"/>
      <c r="S243" s="68"/>
    </row>
    <row r="244" spans="1:19" hidden="1">
      <c r="A244" s="69" t="str">
        <f t="shared" si="46"/>
        <v>Coliflower</v>
      </c>
      <c r="B244" s="69" t="s">
        <v>365</v>
      </c>
      <c r="C244" s="159"/>
      <c r="D244" s="159">
        <f t="shared" si="47"/>
        <v>0</v>
      </c>
      <c r="E244" s="70">
        <f t="shared" si="47"/>
        <v>0</v>
      </c>
      <c r="F244" s="70">
        <f t="shared" si="47"/>
        <v>0</v>
      </c>
      <c r="G244" s="70">
        <f t="shared" si="47"/>
        <v>0</v>
      </c>
      <c r="H244" s="70">
        <f t="shared" si="47"/>
        <v>0</v>
      </c>
      <c r="I244" s="70">
        <f t="shared" si="47"/>
        <v>0</v>
      </c>
      <c r="J244" s="70">
        <f t="shared" si="47"/>
        <v>0</v>
      </c>
      <c r="K244" s="68"/>
      <c r="L244" s="68"/>
      <c r="M244" s="68"/>
      <c r="N244" s="68"/>
      <c r="O244" s="68"/>
      <c r="P244" s="68"/>
      <c r="Q244" s="68"/>
      <c r="R244" s="68"/>
      <c r="S244" s="68"/>
    </row>
    <row r="245" spans="1:19" hidden="1">
      <c r="A245" s="69" t="str">
        <f t="shared" si="46"/>
        <v>Bitter Gurd</v>
      </c>
      <c r="B245" s="69" t="s">
        <v>365</v>
      </c>
      <c r="C245" s="159"/>
      <c r="D245" s="159">
        <f t="shared" si="47"/>
        <v>0</v>
      </c>
      <c r="E245" s="70">
        <f t="shared" si="47"/>
        <v>0</v>
      </c>
      <c r="F245" s="70">
        <f t="shared" si="47"/>
        <v>0</v>
      </c>
      <c r="G245" s="70">
        <f t="shared" si="47"/>
        <v>0</v>
      </c>
      <c r="H245" s="70">
        <f t="shared" si="47"/>
        <v>0</v>
      </c>
      <c r="I245" s="70">
        <f t="shared" si="47"/>
        <v>0</v>
      </c>
      <c r="J245" s="70">
        <f t="shared" si="47"/>
        <v>0</v>
      </c>
      <c r="K245" s="68"/>
      <c r="L245" s="68"/>
      <c r="M245" s="68"/>
      <c r="N245" s="68"/>
      <c r="O245" s="68"/>
      <c r="P245" s="68"/>
      <c r="Q245" s="68"/>
      <c r="R245" s="68"/>
      <c r="S245" s="68"/>
    </row>
    <row r="246" spans="1:19" hidden="1">
      <c r="A246" s="69">
        <f t="shared" si="46"/>
        <v>0</v>
      </c>
      <c r="B246" s="69" t="s">
        <v>365</v>
      </c>
      <c r="C246" s="159"/>
      <c r="D246" s="159">
        <f t="shared" si="47"/>
        <v>0</v>
      </c>
      <c r="E246" s="70">
        <f t="shared" si="47"/>
        <v>0</v>
      </c>
      <c r="F246" s="70">
        <f t="shared" si="47"/>
        <v>0</v>
      </c>
      <c r="G246" s="70">
        <f t="shared" si="47"/>
        <v>0</v>
      </c>
      <c r="H246" s="70">
        <f t="shared" si="47"/>
        <v>0</v>
      </c>
      <c r="I246" s="70">
        <f t="shared" si="47"/>
        <v>0</v>
      </c>
      <c r="J246" s="70">
        <f t="shared" si="47"/>
        <v>0</v>
      </c>
      <c r="K246" s="68"/>
      <c r="L246" s="68"/>
      <c r="M246" s="68"/>
      <c r="N246" s="68"/>
      <c r="O246" s="68"/>
      <c r="P246" s="68"/>
      <c r="Q246" s="68"/>
      <c r="R246" s="68"/>
      <c r="S246" s="68"/>
    </row>
    <row r="247" spans="1:19" hidden="1">
      <c r="A247" s="69" t="str">
        <f t="shared" si="46"/>
        <v>Exotic Vegitables</v>
      </c>
      <c r="B247" s="69" t="s">
        <v>365</v>
      </c>
      <c r="C247" s="159">
        <v>1800</v>
      </c>
      <c r="D247" s="159">
        <f t="shared" si="47"/>
        <v>0</v>
      </c>
      <c r="E247" s="70">
        <f t="shared" si="47"/>
        <v>0</v>
      </c>
      <c r="F247" s="70">
        <f t="shared" si="47"/>
        <v>0</v>
      </c>
      <c r="G247" s="70">
        <f t="shared" si="47"/>
        <v>0</v>
      </c>
      <c r="H247" s="70">
        <f t="shared" si="47"/>
        <v>0</v>
      </c>
      <c r="I247" s="70">
        <f t="shared" si="47"/>
        <v>0</v>
      </c>
      <c r="J247" s="70">
        <f t="shared" si="47"/>
        <v>0</v>
      </c>
      <c r="K247" s="68"/>
      <c r="L247" s="68"/>
      <c r="M247" s="68"/>
      <c r="N247" s="68"/>
      <c r="O247" s="68"/>
      <c r="P247" s="68"/>
      <c r="Q247" s="68"/>
      <c r="R247" s="68"/>
      <c r="S247" s="68"/>
    </row>
    <row r="248" spans="1:19" hidden="1">
      <c r="A248" s="69" t="str">
        <f t="shared" si="46"/>
        <v>Tomato</v>
      </c>
      <c r="B248" s="69" t="s">
        <v>365</v>
      </c>
      <c r="C248" s="159">
        <v>800</v>
      </c>
      <c r="D248" s="159">
        <f t="shared" ref="D248:J255" si="48">D103*$C248*D$174</f>
        <v>0</v>
      </c>
      <c r="E248" s="70">
        <f t="shared" si="48"/>
        <v>0</v>
      </c>
      <c r="F248" s="70">
        <f t="shared" si="48"/>
        <v>0</v>
      </c>
      <c r="G248" s="70">
        <f t="shared" si="48"/>
        <v>0</v>
      </c>
      <c r="H248" s="70">
        <f t="shared" si="48"/>
        <v>0</v>
      </c>
      <c r="I248" s="70">
        <f t="shared" si="48"/>
        <v>0</v>
      </c>
      <c r="J248" s="70">
        <f t="shared" si="48"/>
        <v>0</v>
      </c>
      <c r="K248" s="68"/>
      <c r="L248" s="68"/>
      <c r="M248" s="68"/>
      <c r="N248" s="68"/>
      <c r="O248" s="68"/>
      <c r="P248" s="68"/>
      <c r="Q248" s="68"/>
      <c r="R248" s="68"/>
      <c r="S248" s="68"/>
    </row>
    <row r="249" spans="1:19" hidden="1">
      <c r="A249" s="69" t="str">
        <f t="shared" si="46"/>
        <v>Okra</v>
      </c>
      <c r="B249" s="69" t="s">
        <v>365</v>
      </c>
      <c r="C249" s="159">
        <v>1300</v>
      </c>
      <c r="D249" s="159">
        <f t="shared" si="48"/>
        <v>0</v>
      </c>
      <c r="E249" s="70">
        <f t="shared" si="48"/>
        <v>0</v>
      </c>
      <c r="F249" s="70">
        <f t="shared" si="48"/>
        <v>0</v>
      </c>
      <c r="G249" s="70">
        <f t="shared" si="48"/>
        <v>0</v>
      </c>
      <c r="H249" s="70">
        <f t="shared" si="48"/>
        <v>0</v>
      </c>
      <c r="I249" s="70">
        <f t="shared" si="48"/>
        <v>0</v>
      </c>
      <c r="J249" s="70">
        <f t="shared" si="48"/>
        <v>0</v>
      </c>
      <c r="K249" s="68"/>
      <c r="L249" s="68"/>
      <c r="M249" s="68"/>
      <c r="N249" s="68"/>
      <c r="O249" s="68"/>
      <c r="P249" s="68"/>
      <c r="Q249" s="68"/>
      <c r="R249" s="68"/>
      <c r="S249" s="68"/>
    </row>
    <row r="250" spans="1:19" hidden="1">
      <c r="A250" s="69" t="str">
        <f t="shared" si="46"/>
        <v>Chilli</v>
      </c>
      <c r="B250" s="69" t="s">
        <v>365</v>
      </c>
      <c r="C250" s="159">
        <v>2800</v>
      </c>
      <c r="D250" s="159">
        <f t="shared" si="48"/>
        <v>0</v>
      </c>
      <c r="E250" s="70">
        <f t="shared" si="48"/>
        <v>0</v>
      </c>
      <c r="F250" s="70">
        <f t="shared" si="48"/>
        <v>0</v>
      </c>
      <c r="G250" s="70">
        <f t="shared" si="48"/>
        <v>0</v>
      </c>
      <c r="H250" s="70">
        <f t="shared" si="48"/>
        <v>0</v>
      </c>
      <c r="I250" s="70">
        <f t="shared" si="48"/>
        <v>0</v>
      </c>
      <c r="J250" s="70">
        <f t="shared" si="48"/>
        <v>0</v>
      </c>
      <c r="K250" s="68"/>
      <c r="L250" s="68"/>
      <c r="M250" s="68"/>
      <c r="N250" s="68"/>
      <c r="O250" s="68"/>
      <c r="P250" s="68"/>
      <c r="Q250" s="68"/>
      <c r="R250" s="68"/>
      <c r="S250" s="68"/>
    </row>
    <row r="251" spans="1:19" hidden="1">
      <c r="A251" s="69" t="str">
        <f t="shared" si="46"/>
        <v>Brinjal</v>
      </c>
      <c r="B251" s="69" t="s">
        <v>365</v>
      </c>
      <c r="C251" s="159">
        <v>1800</v>
      </c>
      <c r="D251" s="159">
        <f t="shared" si="48"/>
        <v>0</v>
      </c>
      <c r="E251" s="70">
        <f t="shared" si="48"/>
        <v>0</v>
      </c>
      <c r="F251" s="70">
        <f t="shared" si="48"/>
        <v>0</v>
      </c>
      <c r="G251" s="70">
        <f t="shared" si="48"/>
        <v>0</v>
      </c>
      <c r="H251" s="70">
        <f t="shared" si="48"/>
        <v>0</v>
      </c>
      <c r="I251" s="70">
        <f t="shared" si="48"/>
        <v>0</v>
      </c>
      <c r="J251" s="70">
        <f t="shared" si="48"/>
        <v>0</v>
      </c>
      <c r="K251" s="68"/>
      <c r="L251" s="68"/>
      <c r="M251" s="68"/>
      <c r="N251" s="68"/>
      <c r="O251" s="68"/>
      <c r="P251" s="68"/>
      <c r="Q251" s="68"/>
      <c r="R251" s="68"/>
      <c r="S251" s="68"/>
    </row>
    <row r="252" spans="1:19" hidden="1">
      <c r="A252" s="69" t="str">
        <f t="shared" si="46"/>
        <v>Ginger</v>
      </c>
      <c r="B252" s="69" t="s">
        <v>365</v>
      </c>
      <c r="C252" s="159"/>
      <c r="D252" s="159">
        <f t="shared" si="48"/>
        <v>0</v>
      </c>
      <c r="E252" s="70">
        <f t="shared" si="48"/>
        <v>0</v>
      </c>
      <c r="F252" s="70">
        <f t="shared" si="48"/>
        <v>0</v>
      </c>
      <c r="G252" s="70">
        <f t="shared" si="48"/>
        <v>0</v>
      </c>
      <c r="H252" s="70">
        <f t="shared" si="48"/>
        <v>0</v>
      </c>
      <c r="I252" s="70">
        <f t="shared" si="48"/>
        <v>0</v>
      </c>
      <c r="J252" s="70">
        <f t="shared" si="48"/>
        <v>0</v>
      </c>
      <c r="K252" s="68"/>
      <c r="L252" s="68"/>
      <c r="M252" s="68"/>
      <c r="N252" s="68"/>
      <c r="O252" s="68"/>
      <c r="P252" s="68"/>
      <c r="Q252" s="68"/>
      <c r="R252" s="68"/>
      <c r="S252" s="68"/>
    </row>
    <row r="253" spans="1:19" hidden="1">
      <c r="A253" s="69">
        <f t="shared" si="46"/>
        <v>0</v>
      </c>
      <c r="B253" s="69" t="s">
        <v>365</v>
      </c>
      <c r="C253" s="159"/>
      <c r="D253" s="159">
        <f t="shared" si="48"/>
        <v>0</v>
      </c>
      <c r="E253" s="70">
        <f t="shared" si="48"/>
        <v>0</v>
      </c>
      <c r="F253" s="70">
        <f t="shared" si="48"/>
        <v>0</v>
      </c>
      <c r="G253" s="70">
        <f t="shared" si="48"/>
        <v>0</v>
      </c>
      <c r="H253" s="70">
        <f t="shared" si="48"/>
        <v>0</v>
      </c>
      <c r="I253" s="70">
        <f t="shared" si="48"/>
        <v>0</v>
      </c>
      <c r="J253" s="70">
        <f t="shared" si="48"/>
        <v>0</v>
      </c>
      <c r="K253" s="68"/>
      <c r="L253" s="68"/>
      <c r="M253" s="68"/>
      <c r="N253" s="68"/>
      <c r="O253" s="68"/>
      <c r="P253" s="68"/>
      <c r="Q253" s="68"/>
      <c r="R253" s="68"/>
      <c r="S253" s="68"/>
    </row>
    <row r="254" spans="1:19" hidden="1">
      <c r="A254" s="69">
        <f t="shared" si="46"/>
        <v>0</v>
      </c>
      <c r="B254" s="69" t="s">
        <v>365</v>
      </c>
      <c r="C254" s="159"/>
      <c r="D254" s="159">
        <f t="shared" si="48"/>
        <v>0</v>
      </c>
      <c r="E254" s="70">
        <f t="shared" si="48"/>
        <v>0</v>
      </c>
      <c r="F254" s="70">
        <f t="shared" si="48"/>
        <v>0</v>
      </c>
      <c r="G254" s="70">
        <f t="shared" si="48"/>
        <v>0</v>
      </c>
      <c r="H254" s="70">
        <f t="shared" si="48"/>
        <v>0</v>
      </c>
      <c r="I254" s="70">
        <f t="shared" si="48"/>
        <v>0</v>
      </c>
      <c r="J254" s="70">
        <f t="shared" si="48"/>
        <v>0</v>
      </c>
      <c r="K254" s="68"/>
      <c r="L254" s="68"/>
      <c r="M254" s="68"/>
      <c r="N254" s="68"/>
      <c r="O254" s="68"/>
      <c r="P254" s="68"/>
      <c r="Q254" s="68"/>
      <c r="R254" s="68"/>
      <c r="S254" s="68"/>
    </row>
    <row r="255" spans="1:19" hidden="1">
      <c r="A255" s="69" t="str">
        <f t="shared" si="46"/>
        <v>Spinach</v>
      </c>
      <c r="B255" s="69" t="s">
        <v>365</v>
      </c>
      <c r="C255" s="159"/>
      <c r="D255" s="159">
        <f t="shared" si="48"/>
        <v>0</v>
      </c>
      <c r="E255" s="70">
        <f t="shared" si="48"/>
        <v>0</v>
      </c>
      <c r="F255" s="70">
        <f t="shared" si="48"/>
        <v>0</v>
      </c>
      <c r="G255" s="70">
        <f t="shared" si="48"/>
        <v>0</v>
      </c>
      <c r="H255" s="70">
        <f t="shared" si="48"/>
        <v>0</v>
      </c>
      <c r="I255" s="70">
        <f t="shared" si="48"/>
        <v>0</v>
      </c>
      <c r="J255" s="70">
        <f t="shared" si="48"/>
        <v>0</v>
      </c>
      <c r="K255" s="68"/>
      <c r="L255" s="68"/>
      <c r="M255" s="68"/>
      <c r="N255" s="68"/>
      <c r="O255" s="68"/>
      <c r="P255" s="68"/>
      <c r="Q255" s="68"/>
      <c r="R255" s="68"/>
      <c r="S255" s="68"/>
    </row>
    <row r="256" spans="1:19" hidden="1">
      <c r="A256" s="69" t="str">
        <f>A216</f>
        <v>Pomegranate</v>
      </c>
      <c r="B256" s="69" t="s">
        <v>365</v>
      </c>
      <c r="C256" s="159">
        <v>4700</v>
      </c>
      <c r="D256" s="159">
        <f t="shared" ref="D256:J261" si="49">D114*$C256*D$174</f>
        <v>0</v>
      </c>
      <c r="E256" s="70">
        <f t="shared" si="49"/>
        <v>0</v>
      </c>
      <c r="F256" s="70">
        <f t="shared" si="49"/>
        <v>0</v>
      </c>
      <c r="G256" s="70">
        <f t="shared" si="49"/>
        <v>0</v>
      </c>
      <c r="H256" s="70">
        <f t="shared" si="49"/>
        <v>0</v>
      </c>
      <c r="I256" s="70">
        <f t="shared" si="49"/>
        <v>0</v>
      </c>
      <c r="J256" s="70">
        <f t="shared" si="49"/>
        <v>0</v>
      </c>
      <c r="K256" s="68"/>
      <c r="L256" s="68"/>
      <c r="M256" s="68"/>
      <c r="N256" s="68"/>
      <c r="O256" s="68"/>
      <c r="P256" s="68"/>
      <c r="Q256" s="68"/>
      <c r="R256" s="68"/>
      <c r="S256" s="68"/>
    </row>
    <row r="257" spans="1:27" hidden="1">
      <c r="A257" s="69" t="str">
        <f>A217</f>
        <v>Banana</v>
      </c>
      <c r="B257" s="69" t="s">
        <v>365</v>
      </c>
      <c r="C257" s="159"/>
      <c r="D257" s="159">
        <f t="shared" si="49"/>
        <v>0</v>
      </c>
      <c r="E257" s="70">
        <f t="shared" si="49"/>
        <v>0</v>
      </c>
      <c r="F257" s="70">
        <f t="shared" si="49"/>
        <v>0</v>
      </c>
      <c r="G257" s="70">
        <f t="shared" si="49"/>
        <v>0</v>
      </c>
      <c r="H257" s="70">
        <f t="shared" si="49"/>
        <v>0</v>
      </c>
      <c r="I257" s="70">
        <f t="shared" si="49"/>
        <v>0</v>
      </c>
      <c r="J257" s="70">
        <f t="shared" si="49"/>
        <v>0</v>
      </c>
      <c r="K257" s="68"/>
      <c r="L257" s="68"/>
      <c r="M257" s="68"/>
      <c r="N257" s="68"/>
      <c r="O257" s="68"/>
      <c r="P257" s="68"/>
      <c r="Q257" s="68"/>
      <c r="R257" s="68"/>
      <c r="S257" s="68"/>
    </row>
    <row r="258" spans="1:27" hidden="1">
      <c r="A258" s="69" t="str">
        <f>A218</f>
        <v>Graps</v>
      </c>
      <c r="B258" s="69" t="s">
        <v>365</v>
      </c>
      <c r="C258" s="159"/>
      <c r="D258" s="159">
        <f t="shared" si="49"/>
        <v>0</v>
      </c>
      <c r="E258" s="70">
        <f t="shared" si="49"/>
        <v>0</v>
      </c>
      <c r="F258" s="70">
        <f t="shared" si="49"/>
        <v>0</v>
      </c>
      <c r="G258" s="70">
        <f t="shared" si="49"/>
        <v>0</v>
      </c>
      <c r="H258" s="70">
        <f t="shared" si="49"/>
        <v>0</v>
      </c>
      <c r="I258" s="70">
        <f t="shared" si="49"/>
        <v>0</v>
      </c>
      <c r="J258" s="70">
        <f t="shared" si="49"/>
        <v>0</v>
      </c>
      <c r="K258" s="68"/>
      <c r="L258" s="68"/>
      <c r="M258" s="68"/>
      <c r="N258" s="68"/>
      <c r="O258" s="68"/>
      <c r="P258" s="68"/>
      <c r="Q258" s="68"/>
      <c r="R258" s="68"/>
      <c r="S258" s="68"/>
    </row>
    <row r="259" spans="1:27" hidden="1">
      <c r="A259" s="69" t="str">
        <f>A219</f>
        <v>Citrus</v>
      </c>
      <c r="B259" s="69" t="s">
        <v>365</v>
      </c>
      <c r="C259" s="159"/>
      <c r="D259" s="159">
        <f t="shared" si="49"/>
        <v>0</v>
      </c>
      <c r="E259" s="70">
        <f t="shared" si="49"/>
        <v>0</v>
      </c>
      <c r="F259" s="70">
        <f t="shared" si="49"/>
        <v>0</v>
      </c>
      <c r="G259" s="70">
        <f t="shared" si="49"/>
        <v>0</v>
      </c>
      <c r="H259" s="70">
        <f t="shared" si="49"/>
        <v>0</v>
      </c>
      <c r="I259" s="70">
        <f t="shared" si="49"/>
        <v>0</v>
      </c>
      <c r="J259" s="70">
        <f t="shared" si="49"/>
        <v>0</v>
      </c>
      <c r="K259" s="68"/>
      <c r="L259" s="68"/>
      <c r="M259" s="68"/>
      <c r="N259" s="68"/>
      <c r="O259" s="68"/>
      <c r="P259" s="68"/>
      <c r="Q259" s="68"/>
      <c r="R259" s="68"/>
      <c r="S259" s="68"/>
    </row>
    <row r="260" spans="1:27" hidden="1">
      <c r="A260" s="69">
        <f>A220</f>
        <v>0</v>
      </c>
      <c r="B260" s="69" t="s">
        <v>365</v>
      </c>
      <c r="C260" s="159"/>
      <c r="D260" s="159">
        <f t="shared" si="49"/>
        <v>0</v>
      </c>
      <c r="E260" s="70">
        <f t="shared" si="49"/>
        <v>0</v>
      </c>
      <c r="F260" s="70">
        <f t="shared" si="49"/>
        <v>0</v>
      </c>
      <c r="G260" s="70">
        <f t="shared" si="49"/>
        <v>0</v>
      </c>
      <c r="H260" s="70">
        <f t="shared" si="49"/>
        <v>0</v>
      </c>
      <c r="I260" s="70">
        <f t="shared" si="49"/>
        <v>0</v>
      </c>
      <c r="J260" s="70">
        <f t="shared" si="49"/>
        <v>0</v>
      </c>
      <c r="K260" s="68"/>
      <c r="L260" s="68"/>
      <c r="M260" s="68"/>
      <c r="N260" s="68"/>
      <c r="O260" s="68"/>
      <c r="P260" s="68"/>
      <c r="Q260" s="68"/>
      <c r="R260" s="68"/>
      <c r="S260" s="68"/>
    </row>
    <row r="261" spans="1:27" hidden="1">
      <c r="A261" s="69">
        <f>A222</f>
        <v>0</v>
      </c>
      <c r="B261" s="69"/>
      <c r="C261" s="159"/>
      <c r="D261" s="159">
        <f t="shared" si="49"/>
        <v>0</v>
      </c>
      <c r="E261" s="70">
        <f t="shared" si="49"/>
        <v>0</v>
      </c>
      <c r="F261" s="70">
        <f t="shared" si="49"/>
        <v>0</v>
      </c>
      <c r="G261" s="70">
        <f t="shared" si="49"/>
        <v>0</v>
      </c>
      <c r="H261" s="70">
        <f t="shared" si="49"/>
        <v>0</v>
      </c>
      <c r="I261" s="70">
        <f t="shared" si="49"/>
        <v>0</v>
      </c>
      <c r="J261" s="70">
        <f t="shared" si="49"/>
        <v>0</v>
      </c>
      <c r="K261" s="68"/>
      <c r="L261" s="68"/>
      <c r="M261" s="68"/>
      <c r="N261" s="68"/>
      <c r="O261" s="68"/>
      <c r="P261" s="68"/>
      <c r="Q261" s="68"/>
      <c r="R261" s="68"/>
      <c r="S261" s="68"/>
    </row>
    <row r="262" spans="1:27">
      <c r="A262" s="71" t="s">
        <v>827</v>
      </c>
      <c r="B262" s="69"/>
      <c r="C262" s="159"/>
      <c r="D262" s="159"/>
      <c r="E262" s="70"/>
      <c r="F262" s="70"/>
      <c r="G262" s="70"/>
      <c r="H262" s="70"/>
      <c r="I262" s="70"/>
      <c r="J262" s="70"/>
      <c r="K262" s="68"/>
      <c r="L262" s="68"/>
      <c r="M262" s="68"/>
      <c r="N262" s="68"/>
      <c r="O262" s="68"/>
      <c r="P262" s="68"/>
      <c r="Q262" s="68"/>
      <c r="R262" s="68"/>
      <c r="S262" s="68"/>
    </row>
    <row r="263" spans="1:27">
      <c r="A263" s="69" t="s">
        <v>315</v>
      </c>
      <c r="B263" s="69">
        <v>5</v>
      </c>
      <c r="C263" s="69">
        <v>300</v>
      </c>
      <c r="D263" s="159">
        <f t="shared" ref="D263:J263" si="50">D10*$B$263*$C$263*D174</f>
        <v>227044.44000000003</v>
      </c>
      <c r="E263" s="70">
        <f t="shared" si="50"/>
        <v>236012.69538000011</v>
      </c>
      <c r="F263" s="70">
        <f t="shared" si="50"/>
        <v>270341.81470800011</v>
      </c>
      <c r="G263" s="70">
        <f t="shared" si="50"/>
        <v>307513.81423035014</v>
      </c>
      <c r="H263" s="70">
        <f t="shared" si="50"/>
        <v>347727.15916816524</v>
      </c>
      <c r="I263" s="70">
        <f t="shared" si="50"/>
        <v>391193.05406418588</v>
      </c>
      <c r="J263" s="70">
        <f t="shared" si="50"/>
        <v>438136.22055188811</v>
      </c>
      <c r="K263" s="68"/>
      <c r="L263" s="68"/>
      <c r="M263" s="68"/>
      <c r="N263" s="68"/>
      <c r="O263" s="68"/>
      <c r="P263" s="68"/>
      <c r="Q263" s="68"/>
      <c r="R263" s="68"/>
      <c r="S263" s="68"/>
    </row>
    <row r="264" spans="1:27">
      <c r="A264" s="69" t="s">
        <v>144</v>
      </c>
      <c r="B264" s="69">
        <f>('2.Capex Details'!H37+'2.Capex Details'!H38)*0.746*8</f>
        <v>167.10399999999998</v>
      </c>
      <c r="C264" s="69">
        <v>10</v>
      </c>
      <c r="D264" s="159">
        <f t="shared" ref="D264:J264" si="51">$B$264*$C$264*D174*D10</f>
        <v>252933.56067840001</v>
      </c>
      <c r="E264" s="70">
        <f t="shared" si="51"/>
        <v>262924.43632519688</v>
      </c>
      <c r="F264" s="70">
        <f t="shared" si="51"/>
        <v>301167.99069977098</v>
      </c>
      <c r="G264" s="70">
        <f t="shared" si="51"/>
        <v>342578.58942098956</v>
      </c>
      <c r="H264" s="70">
        <f t="shared" si="51"/>
        <v>387377.32803758053</v>
      </c>
      <c r="I264" s="70">
        <f t="shared" si="51"/>
        <v>435799.49404227809</v>
      </c>
      <c r="J264" s="70">
        <f t="shared" si="51"/>
        <v>488095.43332735146</v>
      </c>
      <c r="K264" s="68"/>
      <c r="L264" s="68"/>
      <c r="M264" s="68"/>
      <c r="N264" s="68"/>
      <c r="O264" s="68"/>
      <c r="P264" s="68"/>
      <c r="Q264" s="68"/>
      <c r="R264" s="68"/>
      <c r="S264" s="68"/>
    </row>
    <row r="265" spans="1:27">
      <c r="A265" s="69" t="s">
        <v>2053</v>
      </c>
      <c r="B265" s="69"/>
      <c r="C265" s="69">
        <v>30</v>
      </c>
      <c r="D265" s="159">
        <f>((D123*100)/25)*$C$265*D174</f>
        <v>66069.93204</v>
      </c>
      <c r="E265" s="159">
        <f t="shared" ref="E265:J265" si="52">((E123*100)/25)*$C$265*E174</f>
        <v>68679.694355579995</v>
      </c>
      <c r="F265" s="159">
        <f t="shared" si="52"/>
        <v>78669.468080028004</v>
      </c>
      <c r="G265" s="159">
        <f t="shared" si="52"/>
        <v>89486.519941031875</v>
      </c>
      <c r="H265" s="159">
        <f t="shared" si="52"/>
        <v>101188.60331793608</v>
      </c>
      <c r="I265" s="159">
        <f t="shared" si="52"/>
        <v>113837.17873267808</v>
      </c>
      <c r="J265" s="159">
        <f t="shared" si="52"/>
        <v>127497.64018059942</v>
      </c>
      <c r="K265" s="68"/>
      <c r="L265" s="68"/>
      <c r="M265" s="68"/>
      <c r="N265" s="68"/>
      <c r="O265" s="68"/>
      <c r="P265" s="68"/>
      <c r="Q265" s="68"/>
      <c r="R265" s="68"/>
      <c r="S265" s="68"/>
    </row>
    <row r="266" spans="1:27">
      <c r="A266" s="69" t="s">
        <v>460</v>
      </c>
      <c r="B266" s="69"/>
      <c r="C266" s="69">
        <v>25</v>
      </c>
      <c r="D266" s="159">
        <f>((D123*100)/25)*$C$266*D174</f>
        <v>55058.276700000002</v>
      </c>
      <c r="E266" s="159">
        <f t="shared" ref="E266:J266" si="53">((E123*100)/25)*$C$266*E174</f>
        <v>57233.078629649994</v>
      </c>
      <c r="F266" s="159">
        <f t="shared" si="53"/>
        <v>65557.890066690001</v>
      </c>
      <c r="G266" s="159">
        <f t="shared" si="53"/>
        <v>74572.099950859905</v>
      </c>
      <c r="H266" s="159">
        <f t="shared" si="53"/>
        <v>84323.836098280066</v>
      </c>
      <c r="I266" s="159">
        <f t="shared" si="53"/>
        <v>94864.315610565056</v>
      </c>
      <c r="J266" s="159">
        <f t="shared" si="53"/>
        <v>106248.03348383287</v>
      </c>
      <c r="K266" s="68"/>
      <c r="L266" s="68"/>
      <c r="M266" s="68"/>
      <c r="N266" s="68"/>
      <c r="O266" s="68"/>
      <c r="P266" s="68"/>
      <c r="Q266" s="68"/>
      <c r="R266" s="68"/>
      <c r="S266" s="68"/>
    </row>
    <row r="267" spans="1:27">
      <c r="A267" s="9" t="s">
        <v>694</v>
      </c>
      <c r="B267" s="9"/>
      <c r="C267" s="230"/>
      <c r="D267" s="159"/>
      <c r="E267" s="159"/>
      <c r="F267" s="159"/>
      <c r="G267" s="159"/>
      <c r="H267" s="159"/>
      <c r="I267" s="159"/>
      <c r="J267" s="159"/>
      <c r="K267" s="68"/>
      <c r="L267" s="68"/>
      <c r="M267" s="68"/>
      <c r="N267" s="68"/>
      <c r="O267" s="68"/>
      <c r="P267" s="68"/>
      <c r="Q267" s="68"/>
      <c r="R267" s="68"/>
      <c r="S267" s="68">
        <f>+D267/12</f>
        <v>0</v>
      </c>
    </row>
    <row r="268" spans="1:27">
      <c r="A268" s="9"/>
      <c r="B268" s="9"/>
      <c r="C268" s="9"/>
      <c r="D268" s="9"/>
      <c r="E268" s="9"/>
      <c r="F268" s="9"/>
      <c r="G268" s="9"/>
      <c r="H268" s="9"/>
      <c r="I268" s="9"/>
      <c r="J268" s="9"/>
      <c r="K268" s="68"/>
      <c r="L268" s="68"/>
      <c r="M268" s="68"/>
      <c r="N268" s="68"/>
      <c r="O268" s="68"/>
      <c r="P268" s="68"/>
      <c r="Q268" s="68"/>
      <c r="R268" s="68"/>
      <c r="S268" s="68"/>
    </row>
    <row r="269" spans="1:27" hidden="1">
      <c r="A269" s="9"/>
      <c r="B269" s="9"/>
      <c r="C269" s="9"/>
      <c r="D269" s="9"/>
      <c r="E269" s="9"/>
      <c r="F269" s="9"/>
      <c r="G269" s="9"/>
      <c r="H269" s="9"/>
      <c r="I269" s="9"/>
      <c r="J269" s="9"/>
      <c r="K269" s="68"/>
      <c r="L269" s="68"/>
      <c r="M269" s="68"/>
      <c r="N269" s="68"/>
      <c r="O269" s="68"/>
      <c r="P269" s="68"/>
      <c r="Q269" s="68"/>
      <c r="R269" s="68"/>
      <c r="S269" s="68"/>
    </row>
    <row r="270" spans="1:27">
      <c r="A270" s="69" t="s">
        <v>347</v>
      </c>
      <c r="B270" s="69"/>
      <c r="C270" s="69"/>
      <c r="D270" s="161"/>
      <c r="E270" s="161">
        <f>'5.Closing Stock &amp; W Capital'!F7</f>
        <v>169205.17163592001</v>
      </c>
      <c r="F270" s="161">
        <f>'5.Closing Stock &amp; W Capital'!G7</f>
        <v>175888.77591553886</v>
      </c>
      <c r="G270" s="161">
        <f>'5.Closing Stock &amp; W Capital'!H7</f>
        <v>201472.59786688996</v>
      </c>
      <c r="H270" s="161">
        <f>'5.Closing Stock &amp; W Capital'!I7</f>
        <v>229175.08007358742</v>
      </c>
      <c r="I270" s="161">
        <f>'5.Closing Stock &amp; W Capital'!J7</f>
        <v>259144.12900628732</v>
      </c>
      <c r="J270" s="161">
        <f>'5.Closing Stock &amp; W Capital'!K7</f>
        <v>291537.14513207332</v>
      </c>
      <c r="K270" s="68"/>
      <c r="L270" s="68"/>
      <c r="M270" s="68"/>
      <c r="N270" s="68"/>
      <c r="O270" s="68"/>
      <c r="P270" s="68"/>
      <c r="Q270" s="68"/>
      <c r="R270" s="68"/>
      <c r="S270" s="68"/>
    </row>
    <row r="271" spans="1:27">
      <c r="A271" s="69" t="s">
        <v>348</v>
      </c>
      <c r="B271" s="69"/>
      <c r="C271" s="161"/>
      <c r="D271" s="161">
        <f>'5.Closing Stock &amp; W Capital'!E16</f>
        <v>169205.17163592001</v>
      </c>
      <c r="E271" s="161">
        <f>'5.Closing Stock &amp; W Capital'!F16</f>
        <v>175888.77591553886</v>
      </c>
      <c r="F271" s="161">
        <f>'5.Closing Stock &amp; W Capital'!G16</f>
        <v>201472.59786688996</v>
      </c>
      <c r="G271" s="161">
        <f>'5.Closing Stock &amp; W Capital'!H16</f>
        <v>229175.08007358742</v>
      </c>
      <c r="H271" s="161">
        <f>'5.Closing Stock &amp; W Capital'!I16</f>
        <v>259144.12900628732</v>
      </c>
      <c r="I271" s="161">
        <f>'5.Closing Stock &amp; W Capital'!J16</f>
        <v>291537.14513207332</v>
      </c>
      <c r="J271" s="161">
        <f>'5.Closing Stock &amp; W Capital'!K16</f>
        <v>326521.60254792206</v>
      </c>
      <c r="K271" s="68"/>
      <c r="L271" s="68"/>
      <c r="M271" s="68"/>
      <c r="N271" s="68"/>
      <c r="O271" s="68"/>
      <c r="P271" s="68"/>
      <c r="Q271" s="68"/>
      <c r="R271" s="68"/>
      <c r="S271" s="68"/>
    </row>
    <row r="272" spans="1:27">
      <c r="A272" s="69"/>
      <c r="B272" s="69"/>
      <c r="C272" s="164"/>
      <c r="D272" s="161"/>
      <c r="E272" s="161"/>
      <c r="F272" s="161"/>
      <c r="G272" s="161"/>
      <c r="H272" s="161"/>
      <c r="I272" s="161"/>
      <c r="J272" s="161"/>
      <c r="K272" s="68"/>
      <c r="L272" s="68"/>
      <c r="M272" s="68"/>
      <c r="N272" s="68"/>
      <c r="O272" s="68"/>
      <c r="P272" s="68"/>
      <c r="Q272" s="68"/>
      <c r="R272" s="68"/>
      <c r="S272" s="68"/>
      <c r="T272" s="68"/>
      <c r="U272" s="68"/>
      <c r="V272" s="68"/>
      <c r="W272" s="68"/>
      <c r="X272" s="68"/>
      <c r="Y272" s="68"/>
      <c r="Z272" s="68"/>
      <c r="AA272" s="68"/>
    </row>
    <row r="273" spans="1:27">
      <c r="A273" s="71" t="s">
        <v>325</v>
      </c>
      <c r="B273" s="71"/>
      <c r="C273" s="71"/>
      <c r="D273" s="580">
        <f t="shared" ref="D273:J273" si="54">SUM(D226:D270)-D271</f>
        <v>3269956.5377824795</v>
      </c>
      <c r="E273" s="87">
        <f t="shared" si="54"/>
        <v>3568324.9926608084</v>
      </c>
      <c r="F273" s="87">
        <f t="shared" si="54"/>
        <v>4069426.0254531372</v>
      </c>
      <c r="G273" s="87">
        <f t="shared" si="54"/>
        <v>4630371.2192159109</v>
      </c>
      <c r="H273" s="87">
        <f t="shared" si="54"/>
        <v>5237237.3672913266</v>
      </c>
      <c r="I273" s="87">
        <f t="shared" si="54"/>
        <v>5893214.202126245</v>
      </c>
      <c r="J273" s="87">
        <f t="shared" si="54"/>
        <v>6601695.6270264247</v>
      </c>
      <c r="K273" s="68"/>
      <c r="L273" s="68"/>
      <c r="M273" s="68"/>
      <c r="N273" s="68"/>
      <c r="O273" s="68"/>
      <c r="P273" s="68"/>
      <c r="Q273" s="68"/>
      <c r="R273" s="68"/>
      <c r="S273" s="68"/>
      <c r="T273" s="68"/>
      <c r="U273" s="68"/>
      <c r="V273" s="68"/>
      <c r="W273" s="68"/>
      <c r="X273" s="68"/>
      <c r="Y273" s="68"/>
      <c r="Z273" s="68"/>
      <c r="AA273" s="68"/>
    </row>
    <row r="274" spans="1:27">
      <c r="A274" s="71" t="s">
        <v>312</v>
      </c>
      <c r="B274" s="69"/>
      <c r="C274" s="69"/>
      <c r="D274" s="82"/>
      <c r="E274" s="82"/>
      <c r="F274" s="82"/>
      <c r="G274" s="82"/>
      <c r="H274" s="82"/>
      <c r="I274" s="69"/>
      <c r="J274" s="69"/>
      <c r="K274" s="68"/>
      <c r="L274" s="68"/>
      <c r="M274" s="68"/>
      <c r="N274" s="68"/>
      <c r="O274" s="68"/>
      <c r="P274" s="68"/>
      <c r="Q274" s="68"/>
      <c r="R274" s="68"/>
      <c r="S274" s="68"/>
      <c r="T274" s="68"/>
      <c r="U274" s="68"/>
      <c r="V274" s="68"/>
      <c r="W274" s="68"/>
      <c r="X274" s="68"/>
      <c r="Y274" s="68"/>
      <c r="Z274" s="68"/>
      <c r="AA274" s="68"/>
    </row>
    <row r="275" spans="1:27" hidden="1">
      <c r="A275" s="164" t="s">
        <v>189</v>
      </c>
      <c r="B275" s="164">
        <v>1</v>
      </c>
      <c r="C275" s="159">
        <v>0</v>
      </c>
      <c r="D275" s="159">
        <f t="shared" ref="D275:J275" si="55">$B$275*$C$275*12*D174</f>
        <v>0</v>
      </c>
      <c r="E275" s="70">
        <f t="shared" si="55"/>
        <v>0</v>
      </c>
      <c r="F275" s="70">
        <f t="shared" si="55"/>
        <v>0</v>
      </c>
      <c r="G275" s="70">
        <f t="shared" si="55"/>
        <v>0</v>
      </c>
      <c r="H275" s="70">
        <f t="shared" si="55"/>
        <v>0</v>
      </c>
      <c r="I275" s="70">
        <f t="shared" si="55"/>
        <v>0</v>
      </c>
      <c r="J275" s="70">
        <f t="shared" si="55"/>
        <v>0</v>
      </c>
      <c r="K275" s="68"/>
      <c r="L275" s="68"/>
      <c r="M275" s="68"/>
      <c r="N275" s="68"/>
      <c r="O275" s="68"/>
      <c r="P275" s="68"/>
      <c r="Q275" s="68"/>
      <c r="R275" s="68"/>
      <c r="S275" s="68"/>
      <c r="T275" s="68"/>
      <c r="U275" s="68"/>
      <c r="V275" s="68"/>
      <c r="W275" s="68"/>
      <c r="X275" s="68"/>
      <c r="Y275" s="68"/>
      <c r="Z275" s="68"/>
      <c r="AA275" s="68"/>
    </row>
    <row r="276" spans="1:27">
      <c r="A276" s="164" t="s">
        <v>188</v>
      </c>
      <c r="B276" s="164">
        <v>1</v>
      </c>
      <c r="C276" s="159">
        <v>10000</v>
      </c>
      <c r="D276" s="159">
        <f t="shared" ref="D276:J276" si="56">$B$276*$C$276*12*D174</f>
        <v>120000</v>
      </c>
      <c r="E276" s="70">
        <f t="shared" si="56"/>
        <v>126000</v>
      </c>
      <c r="F276" s="70">
        <f t="shared" si="56"/>
        <v>132300</v>
      </c>
      <c r="G276" s="70">
        <f t="shared" si="56"/>
        <v>138915.00000000003</v>
      </c>
      <c r="H276" s="70">
        <f t="shared" si="56"/>
        <v>145860.75000000003</v>
      </c>
      <c r="I276" s="70">
        <f t="shared" si="56"/>
        <v>153153.78750000003</v>
      </c>
      <c r="J276" s="70">
        <f t="shared" si="56"/>
        <v>160811.47687500005</v>
      </c>
      <c r="K276" s="68"/>
      <c r="L276" s="68"/>
      <c r="M276" s="68"/>
      <c r="N276" s="68"/>
      <c r="O276" s="68"/>
      <c r="P276" s="68"/>
      <c r="Q276" s="68"/>
      <c r="R276" s="68"/>
      <c r="S276" s="68"/>
      <c r="T276" s="68"/>
      <c r="U276" s="68"/>
      <c r="V276" s="68"/>
      <c r="W276" s="68"/>
      <c r="X276" s="68"/>
      <c r="Y276" s="68"/>
      <c r="Z276" s="68"/>
      <c r="AA276" s="68"/>
    </row>
    <row r="277" spans="1:27" hidden="1">
      <c r="A277" s="286"/>
      <c r="B277" s="286"/>
      <c r="C277" s="585"/>
      <c r="D277" s="159">
        <f t="shared" ref="D277:J277" si="57">$B$276*$C$276*12*D176</f>
        <v>0</v>
      </c>
      <c r="E277" s="70">
        <f t="shared" si="57"/>
        <v>0</v>
      </c>
      <c r="F277" s="70">
        <f t="shared" si="57"/>
        <v>0</v>
      </c>
      <c r="G277" s="70">
        <f t="shared" si="57"/>
        <v>0</v>
      </c>
      <c r="H277" s="70">
        <f t="shared" si="57"/>
        <v>0</v>
      </c>
      <c r="I277" s="70">
        <f t="shared" si="57"/>
        <v>0</v>
      </c>
      <c r="J277" s="70">
        <f t="shared" si="57"/>
        <v>0</v>
      </c>
      <c r="K277" s="68"/>
      <c r="L277" s="68"/>
      <c r="M277" s="68"/>
      <c r="N277" s="68"/>
      <c r="O277" s="68"/>
      <c r="P277" s="68"/>
      <c r="Q277" s="68"/>
      <c r="R277" s="68"/>
      <c r="S277" s="68"/>
      <c r="T277" s="68"/>
      <c r="U277" s="68"/>
      <c r="V277" s="68"/>
      <c r="W277" s="68"/>
      <c r="X277" s="68"/>
      <c r="Y277" s="68"/>
      <c r="Z277" s="68"/>
      <c r="AA277" s="68"/>
    </row>
    <row r="278" spans="1:27" hidden="1">
      <c r="A278" s="69"/>
      <c r="B278" s="69"/>
      <c r="C278" s="159"/>
      <c r="D278" s="159"/>
      <c r="E278" s="70"/>
      <c r="F278" s="70"/>
      <c r="G278" s="70"/>
      <c r="H278" s="70"/>
      <c r="I278" s="70"/>
      <c r="J278" s="70"/>
      <c r="K278" s="68"/>
      <c r="L278" s="68"/>
      <c r="M278" s="68"/>
      <c r="N278" s="68"/>
      <c r="O278" s="68"/>
      <c r="P278" s="68"/>
      <c r="Q278" s="68"/>
      <c r="R278" s="68"/>
      <c r="S278" s="68"/>
      <c r="T278" s="68"/>
      <c r="U278" s="68"/>
      <c r="V278" s="68"/>
      <c r="W278" s="68"/>
      <c r="X278" s="68"/>
      <c r="Y278" s="68"/>
      <c r="Z278" s="68"/>
      <c r="AA278" s="68"/>
    </row>
    <row r="279" spans="1:27" hidden="1">
      <c r="A279" s="69"/>
      <c r="B279" s="69"/>
      <c r="C279" s="159"/>
      <c r="D279" s="159"/>
      <c r="E279" s="70"/>
      <c r="F279" s="70"/>
      <c r="G279" s="70"/>
      <c r="H279" s="70"/>
      <c r="I279" s="70"/>
      <c r="J279" s="70"/>
      <c r="K279" s="68"/>
      <c r="L279" s="68"/>
      <c r="M279" s="68"/>
      <c r="N279" s="68"/>
      <c r="O279" s="68"/>
      <c r="P279" s="68"/>
      <c r="Q279" s="68"/>
      <c r="R279" s="68"/>
      <c r="S279" s="68"/>
      <c r="T279" s="68"/>
      <c r="U279" s="68"/>
      <c r="V279" s="68"/>
      <c r="W279" s="68"/>
      <c r="X279" s="68"/>
      <c r="Y279" s="68"/>
      <c r="Z279" s="68"/>
      <c r="AA279" s="68"/>
    </row>
    <row r="280" spans="1:27" hidden="1">
      <c r="A280" s="69"/>
      <c r="B280" s="69"/>
      <c r="C280" s="159"/>
      <c r="D280" s="159"/>
      <c r="E280" s="70"/>
      <c r="F280" s="70"/>
      <c r="G280" s="70"/>
      <c r="H280" s="70"/>
      <c r="I280" s="70"/>
      <c r="J280" s="70"/>
      <c r="K280" s="68"/>
      <c r="L280" s="68"/>
      <c r="M280" s="68"/>
      <c r="N280" s="68"/>
      <c r="O280" s="68"/>
      <c r="P280" s="68"/>
      <c r="Q280" s="68"/>
      <c r="R280" s="68"/>
      <c r="S280" s="68"/>
      <c r="T280" s="68"/>
      <c r="U280" s="68"/>
      <c r="V280" s="68"/>
      <c r="W280" s="68"/>
      <c r="X280" s="68"/>
      <c r="Y280" s="68"/>
      <c r="Z280" s="68"/>
      <c r="AA280" s="68"/>
    </row>
    <row r="281" spans="1:27">
      <c r="A281" s="69"/>
      <c r="B281" s="69"/>
      <c r="C281" s="159"/>
      <c r="D281" s="159"/>
      <c r="E281" s="70"/>
      <c r="F281" s="70"/>
      <c r="G281" s="70"/>
      <c r="H281" s="70"/>
      <c r="I281" s="70"/>
      <c r="J281" s="70"/>
      <c r="K281" s="68"/>
      <c r="L281" s="68"/>
      <c r="M281" s="68"/>
      <c r="N281" s="68"/>
      <c r="O281" s="68"/>
      <c r="P281" s="68"/>
      <c r="Q281" s="68"/>
      <c r="R281" s="68"/>
      <c r="S281" s="68"/>
      <c r="T281" s="68"/>
      <c r="U281" s="68"/>
      <c r="V281" s="68"/>
      <c r="W281" s="68"/>
      <c r="X281" s="68"/>
      <c r="Y281" s="68"/>
      <c r="Z281" s="68"/>
      <c r="AA281" s="68"/>
    </row>
    <row r="282" spans="1:27">
      <c r="A282" s="71" t="s">
        <v>329</v>
      </c>
      <c r="B282" s="71"/>
      <c r="C282" s="71"/>
      <c r="D282" s="580">
        <f t="shared" ref="D282:J282" si="58">SUM(D275:D281)</f>
        <v>120000</v>
      </c>
      <c r="E282" s="87">
        <f t="shared" si="58"/>
        <v>126000</v>
      </c>
      <c r="F282" s="87">
        <f t="shared" si="58"/>
        <v>132300</v>
      </c>
      <c r="G282" s="87">
        <f t="shared" si="58"/>
        <v>138915.00000000003</v>
      </c>
      <c r="H282" s="87">
        <f t="shared" si="58"/>
        <v>145860.75000000003</v>
      </c>
      <c r="I282" s="87">
        <f t="shared" si="58"/>
        <v>153153.78750000003</v>
      </c>
      <c r="J282" s="87">
        <f t="shared" si="58"/>
        <v>160811.47687500005</v>
      </c>
      <c r="K282" s="68"/>
      <c r="L282" s="68"/>
      <c r="M282" s="68"/>
      <c r="N282" s="68"/>
      <c r="O282" s="68"/>
      <c r="P282" s="68"/>
      <c r="Q282" s="68"/>
      <c r="R282" s="68"/>
      <c r="S282" s="68"/>
      <c r="T282" s="68"/>
      <c r="U282" s="152"/>
      <c r="V282" s="68"/>
      <c r="W282" s="68"/>
      <c r="X282" s="68"/>
      <c r="Y282" s="68"/>
      <c r="Z282" s="68"/>
      <c r="AA282" s="68"/>
    </row>
    <row r="283" spans="1:27">
      <c r="A283" s="71" t="s">
        <v>129</v>
      </c>
      <c r="B283" s="71"/>
      <c r="C283" s="71"/>
      <c r="D283" s="580">
        <f t="shared" ref="D283:J283" si="59">D273+D282</f>
        <v>3389956.5377824795</v>
      </c>
      <c r="E283" s="87">
        <f t="shared" si="59"/>
        <v>3694324.9926608084</v>
      </c>
      <c r="F283" s="87">
        <f t="shared" si="59"/>
        <v>4201726.0254531372</v>
      </c>
      <c r="G283" s="87">
        <f t="shared" si="59"/>
        <v>4769286.2192159109</v>
      </c>
      <c r="H283" s="87">
        <f t="shared" si="59"/>
        <v>5383098.1172913266</v>
      </c>
      <c r="I283" s="87">
        <f t="shared" si="59"/>
        <v>6046367.9896262446</v>
      </c>
      <c r="J283" s="87">
        <f t="shared" si="59"/>
        <v>6762507.1039014244</v>
      </c>
      <c r="K283" s="68"/>
      <c r="L283" s="68"/>
      <c r="M283" s="68"/>
      <c r="N283" s="68"/>
      <c r="O283" s="68"/>
      <c r="P283" s="68"/>
      <c r="Q283" s="68"/>
      <c r="R283" s="68"/>
      <c r="S283" s="68"/>
      <c r="T283" s="68"/>
      <c r="U283" s="68"/>
      <c r="V283" s="68"/>
      <c r="W283" s="68"/>
      <c r="X283" s="68"/>
      <c r="Y283" s="68"/>
      <c r="Z283" s="68"/>
      <c r="AA283" s="68"/>
    </row>
    <row r="284" spans="1:27">
      <c r="A284" s="69"/>
      <c r="B284" s="69"/>
      <c r="C284" s="69"/>
      <c r="D284" s="82"/>
      <c r="E284" s="82"/>
      <c r="F284" s="82"/>
      <c r="G284" s="82"/>
      <c r="H284" s="82"/>
      <c r="I284" s="69"/>
      <c r="J284" s="69"/>
      <c r="K284" s="68"/>
      <c r="L284" s="68"/>
      <c r="M284" s="68"/>
      <c r="N284" s="68"/>
      <c r="O284" s="68"/>
      <c r="P284" s="68"/>
      <c r="Q284" s="68"/>
      <c r="R284" s="68"/>
      <c r="S284" s="68"/>
      <c r="T284" s="68"/>
      <c r="U284" s="68"/>
      <c r="V284" s="68"/>
      <c r="W284" s="68"/>
      <c r="X284" s="68"/>
      <c r="Y284" s="68"/>
      <c r="Z284" s="68"/>
      <c r="AA284" s="68"/>
    </row>
    <row r="285" spans="1:27">
      <c r="A285" s="71"/>
      <c r="B285" s="71"/>
      <c r="C285" s="71"/>
      <c r="D285" s="82"/>
      <c r="E285" s="82"/>
      <c r="F285" s="82"/>
      <c r="G285" s="82"/>
      <c r="H285" s="82"/>
      <c r="I285" s="69"/>
      <c r="J285" s="69"/>
      <c r="K285" s="68"/>
      <c r="L285" s="68"/>
      <c r="M285" s="68"/>
      <c r="N285" s="68"/>
      <c r="O285" s="68"/>
      <c r="P285" s="68"/>
      <c r="Q285" s="68"/>
      <c r="R285" s="68"/>
      <c r="S285" s="68"/>
      <c r="T285" s="68"/>
      <c r="U285" s="68"/>
      <c r="V285" s="68"/>
      <c r="W285" s="68"/>
      <c r="X285" s="68"/>
      <c r="Y285" s="68"/>
      <c r="Z285" s="68"/>
      <c r="AA285" s="68"/>
    </row>
    <row r="286" spans="1:27">
      <c r="A286" s="71" t="s">
        <v>317</v>
      </c>
      <c r="B286" s="71"/>
      <c r="C286" s="71"/>
      <c r="D286" s="87">
        <f t="shared" ref="D286:J286" si="60">D221-D283</f>
        <v>2083801.1050675199</v>
      </c>
      <c r="E286" s="87">
        <f t="shared" si="60"/>
        <v>2255796.434489266</v>
      </c>
      <c r="F286" s="87">
        <f t="shared" si="60"/>
        <v>2586303.4964134526</v>
      </c>
      <c r="G286" s="87">
        <f t="shared" si="60"/>
        <v>2954248.4801751515</v>
      </c>
      <c r="H286" s="87">
        <f t="shared" si="60"/>
        <v>3352522.2035719892</v>
      </c>
      <c r="I286" s="87">
        <f t="shared" si="60"/>
        <v>3783237.6781080673</v>
      </c>
      <c r="J286" s="87">
        <f t="shared" si="60"/>
        <v>4248643.3945888272</v>
      </c>
      <c r="K286" s="68"/>
      <c r="L286" s="68"/>
      <c r="M286" s="68"/>
      <c r="N286" s="68"/>
      <c r="O286" s="68"/>
      <c r="P286" s="68"/>
      <c r="Q286" s="68"/>
      <c r="R286" s="68"/>
      <c r="S286" s="68"/>
      <c r="T286" s="68"/>
      <c r="U286" s="68"/>
      <c r="V286" s="68"/>
      <c r="W286" s="68"/>
      <c r="X286" s="68"/>
      <c r="Y286" s="68"/>
      <c r="Z286" s="68"/>
      <c r="AA286" s="68"/>
    </row>
    <row r="287" spans="1:27">
      <c r="A287" s="68"/>
      <c r="B287" s="68"/>
      <c r="C287" s="68"/>
      <c r="D287" s="68"/>
      <c r="E287" s="150"/>
      <c r="F287" s="150"/>
      <c r="G287" s="150"/>
      <c r="H287" s="150"/>
      <c r="I287" s="150"/>
      <c r="J287" s="150"/>
    </row>
    <row r="288" spans="1:27">
      <c r="A288" s="68" t="s">
        <v>50</v>
      </c>
      <c r="B288" s="68"/>
      <c r="C288" s="68"/>
      <c r="D288" s="68"/>
      <c r="E288" s="68"/>
      <c r="F288" s="68"/>
      <c r="G288" s="68"/>
      <c r="H288" s="68"/>
      <c r="I288" s="68"/>
      <c r="J288" s="68"/>
    </row>
    <row r="289" spans="1:10">
      <c r="A289" s="1073" t="s">
        <v>424</v>
      </c>
      <c r="B289" s="1073"/>
      <c r="C289" s="1073"/>
      <c r="D289" s="1073"/>
      <c r="E289" s="1073"/>
      <c r="F289" s="1073"/>
      <c r="G289" s="1073"/>
      <c r="H289" s="1073"/>
      <c r="I289" s="1073"/>
      <c r="J289" s="1073"/>
    </row>
    <row r="291" spans="1:10">
      <c r="A291" t="s">
        <v>531</v>
      </c>
    </row>
    <row r="292" spans="1:10">
      <c r="A292">
        <v>1</v>
      </c>
      <c r="B292" t="s">
        <v>544</v>
      </c>
    </row>
    <row r="293" spans="1:10">
      <c r="A293">
        <v>2</v>
      </c>
      <c r="B293" t="s">
        <v>545</v>
      </c>
    </row>
    <row r="294" spans="1:10">
      <c r="A294">
        <v>3</v>
      </c>
      <c r="B294" s="68" t="s">
        <v>572</v>
      </c>
    </row>
    <row r="296" spans="1:10">
      <c r="D296">
        <v>2050961.9280151799</v>
      </c>
      <c r="E296">
        <v>2866435.0068511069</v>
      </c>
      <c r="F296">
        <v>3586384.6743471324</v>
      </c>
      <c r="G296">
        <v>4371163.2210756093</v>
      </c>
      <c r="H296">
        <v>5225453.6607910693</v>
      </c>
      <c r="I296">
        <v>6154245.2364254892</v>
      </c>
      <c r="J296">
        <v>7162852.3354712725</v>
      </c>
    </row>
  </sheetData>
  <mergeCells count="5">
    <mergeCell ref="A172:J172"/>
    <mergeCell ref="A2:H2"/>
    <mergeCell ref="A289:J289"/>
    <mergeCell ref="F4:H4"/>
    <mergeCell ref="A3:H3"/>
  </mergeCells>
  <pageMargins left="0.75" right="0.25" top="0.75" bottom="0.75" header="0.3" footer="0.3"/>
  <pageSetup paperSize="9" scale="64" orientation="portrait" r:id="rId1"/>
  <rowBreaks count="1" manualBreakCount="1">
    <brk id="171"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37"/>
  <sheetViews>
    <sheetView view="pageBreakPreview" zoomScale="95" zoomScaleSheetLayoutView="95" workbookViewId="0">
      <selection activeCell="H37" sqref="H37"/>
    </sheetView>
  </sheetViews>
  <sheetFormatPr defaultRowHeight="15"/>
  <cols>
    <col min="2" max="2" width="29.5703125" bestFit="1" customWidth="1"/>
    <col min="3" max="4" width="12" customWidth="1"/>
    <col min="5" max="5" width="12" hidden="1" customWidth="1"/>
    <col min="6" max="7" width="12" customWidth="1"/>
    <col min="8" max="9" width="9.85546875" bestFit="1" customWidth="1"/>
    <col min="10" max="10" width="0" hidden="1" customWidth="1"/>
    <col min="12" max="12" width="0" hidden="1" customWidth="1"/>
    <col min="14" max="15" width="11.85546875" bestFit="1" customWidth="1"/>
    <col min="16" max="16" width="9.85546875" bestFit="1" customWidth="1"/>
  </cols>
  <sheetData>
    <row r="2" spans="2:17">
      <c r="B2" t="s">
        <v>396</v>
      </c>
      <c r="C2" t="s">
        <v>398</v>
      </c>
      <c r="D2">
        <f>+D10/200</f>
        <v>12.5</v>
      </c>
      <c r="K2">
        <f>+D5*80%</f>
        <v>1200</v>
      </c>
      <c r="M2" s="224">
        <f>+K5</f>
        <v>975</v>
      </c>
      <c r="N2" s="224">
        <f>+K2-M2</f>
        <v>225</v>
      </c>
    </row>
    <row r="3" spans="2:17">
      <c r="D3" s="729" t="s">
        <v>1627</v>
      </c>
      <c r="E3" s="729"/>
      <c r="F3" s="729"/>
      <c r="G3" s="729"/>
      <c r="K3" s="1188" t="s">
        <v>1628</v>
      </c>
      <c r="L3" s="1188"/>
      <c r="M3" s="1188"/>
      <c r="N3" s="1188"/>
    </row>
    <row r="4" spans="2:17">
      <c r="D4" t="s">
        <v>1629</v>
      </c>
      <c r="E4" t="s">
        <v>153</v>
      </c>
      <c r="F4" t="s">
        <v>153</v>
      </c>
      <c r="G4" t="s">
        <v>705</v>
      </c>
      <c r="H4" s="288" t="s">
        <v>1630</v>
      </c>
      <c r="I4" t="s">
        <v>1631</v>
      </c>
      <c r="J4" t="s">
        <v>689</v>
      </c>
      <c r="K4" s="560" t="s">
        <v>1632</v>
      </c>
      <c r="L4" s="560"/>
      <c r="M4" s="560" t="s">
        <v>153</v>
      </c>
      <c r="N4" s="560" t="s">
        <v>705</v>
      </c>
    </row>
    <row r="5" spans="2:17">
      <c r="B5" t="s">
        <v>403</v>
      </c>
      <c r="C5" s="1">
        <f>+'12.Facility 1 Dal Mill'!J23</f>
        <v>18163.555200000006</v>
      </c>
      <c r="D5" s="224">
        <v>1500</v>
      </c>
      <c r="E5" s="224">
        <f>+'[15]13.Facility 2 Grain Processing'!$C$171</f>
        <v>4800</v>
      </c>
      <c r="F5" s="224">
        <f>+'12.Facility 1 Dal Mill'!C155*10</f>
        <v>50000</v>
      </c>
      <c r="G5" s="224">
        <f>+D5*F5</f>
        <v>75000000</v>
      </c>
      <c r="H5" s="561">
        <f>+D5/10</f>
        <v>150</v>
      </c>
      <c r="I5" s="4">
        <v>0.65</v>
      </c>
      <c r="J5" s="224">
        <f>+C5*I5</f>
        <v>11806.310880000005</v>
      </c>
      <c r="K5" s="562">
        <f>+D5*I5</f>
        <v>975</v>
      </c>
      <c r="L5" s="560">
        <v>6820</v>
      </c>
      <c r="M5" s="560">
        <f>+'12.Facility 1 Dal Mill'!C141*20</f>
        <v>70000</v>
      </c>
      <c r="N5" s="560">
        <f>+K5*M5</f>
        <v>68250000</v>
      </c>
      <c r="O5" s="1"/>
      <c r="Q5">
        <f>+D5/10</f>
        <v>150</v>
      </c>
    </row>
    <row r="6" spans="2:17">
      <c r="B6" t="s">
        <v>481</v>
      </c>
      <c r="C6">
        <f>+'12.Facility 1 Dal Mill'!J14</f>
        <v>21767.204551680006</v>
      </c>
      <c r="D6" s="224">
        <v>1000</v>
      </c>
      <c r="E6" s="224">
        <f>+'[15]13.Facility 2 Grain Processing'!$C$172</f>
        <v>7200</v>
      </c>
      <c r="F6" s="224">
        <f>+'12.Facility 1 Dal Mill'!C156*10</f>
        <v>65000</v>
      </c>
      <c r="G6" s="224">
        <f>+D6*F6</f>
        <v>65000000</v>
      </c>
      <c r="H6" s="561">
        <f>+D6/10</f>
        <v>100</v>
      </c>
      <c r="I6" s="4">
        <v>0.8</v>
      </c>
      <c r="J6" s="224">
        <f>+C6*I6</f>
        <v>17413.763641344005</v>
      </c>
      <c r="K6" s="562">
        <f>+D6*I6</f>
        <v>800</v>
      </c>
      <c r="L6" s="560">
        <v>9360</v>
      </c>
      <c r="M6" s="560">
        <f>+'12.Facility 1 Dal Mill'!C142*20</f>
        <v>75000</v>
      </c>
      <c r="N6" s="560">
        <f>+K6*M6</f>
        <v>60000000</v>
      </c>
      <c r="O6" s="1"/>
      <c r="Q6">
        <f>+D6/10</f>
        <v>100</v>
      </c>
    </row>
    <row r="7" spans="2:17">
      <c r="B7" t="s">
        <v>478</v>
      </c>
      <c r="D7" s="224"/>
      <c r="E7" s="224"/>
      <c r="F7" s="224"/>
      <c r="G7" s="224"/>
      <c r="H7" s="561"/>
      <c r="I7" s="4">
        <v>0.8</v>
      </c>
      <c r="J7" s="224"/>
      <c r="K7" s="562"/>
      <c r="L7" s="560"/>
      <c r="M7" s="560"/>
      <c r="N7" s="560"/>
      <c r="O7" s="1"/>
    </row>
    <row r="8" spans="2:17">
      <c r="B8" t="s">
        <v>810</v>
      </c>
      <c r="D8" s="224"/>
      <c r="E8" s="224"/>
      <c r="F8" s="224">
        <f>+E8*10</f>
        <v>0</v>
      </c>
      <c r="G8" s="224">
        <f>+D8*E8</f>
        <v>0</v>
      </c>
      <c r="H8" s="561">
        <f>+D8*2</f>
        <v>0</v>
      </c>
      <c r="I8" s="4">
        <v>0.97</v>
      </c>
      <c r="J8" s="224">
        <f>+C5*I8</f>
        <v>17618.648544000007</v>
      </c>
      <c r="K8" s="562">
        <f>+D5*15%</f>
        <v>225</v>
      </c>
      <c r="L8" s="560">
        <f>+'[15]13.Facility 2 Grain Processing'!$C$145</f>
        <v>4092</v>
      </c>
      <c r="M8" s="560" t="e">
        <f>+'12.Facility 1 Dal Mill'!#REF!*20</f>
        <v>#REF!</v>
      </c>
      <c r="N8" s="560" t="e">
        <f>+K8*M8</f>
        <v>#REF!</v>
      </c>
      <c r="Q8">
        <f>+D8/10</f>
        <v>0</v>
      </c>
    </row>
    <row r="9" spans="2:17">
      <c r="B9" s="164" t="s">
        <v>141</v>
      </c>
      <c r="D9" s="224"/>
      <c r="E9" s="224"/>
      <c r="F9" s="224"/>
      <c r="G9" s="224"/>
      <c r="H9" s="561"/>
      <c r="I9" s="4">
        <v>0.2</v>
      </c>
      <c r="J9">
        <f>+((D5+D6+D7+D8)*20%)</f>
        <v>500</v>
      </c>
      <c r="K9" s="562">
        <f>+D10*I9</f>
        <v>500</v>
      </c>
      <c r="L9" s="560"/>
      <c r="M9" s="560" t="e">
        <f>+'12.Facility 1 Dal Mill'!#REF!*1000</f>
        <v>#REF!</v>
      </c>
      <c r="N9" s="560" t="e">
        <f>+K9*M9</f>
        <v>#REF!</v>
      </c>
      <c r="O9">
        <f>250*6000</f>
        <v>1500000</v>
      </c>
      <c r="P9" t="e">
        <f>+O9+N9+N8+N6+N5</f>
        <v>#REF!</v>
      </c>
    </row>
    <row r="10" spans="2:17">
      <c r="D10" s="563">
        <f>SUM(D5:D9)</f>
        <v>2500</v>
      </c>
      <c r="E10" s="563"/>
      <c r="F10" s="563">
        <f>+E10*10</f>
        <v>0</v>
      </c>
      <c r="G10" s="563">
        <f>SUM(G5:G9)</f>
        <v>140000000</v>
      </c>
      <c r="H10" s="564"/>
      <c r="I10" s="4"/>
      <c r="J10" s="224"/>
      <c r="K10" s="562">
        <f>SUM(K5:K8)</f>
        <v>2000</v>
      </c>
      <c r="L10" s="560"/>
      <c r="M10" s="560"/>
      <c r="N10" s="560">
        <v>1500000</v>
      </c>
    </row>
    <row r="11" spans="2:17">
      <c r="D11" s="224"/>
      <c r="E11" s="224"/>
      <c r="F11" s="224"/>
      <c r="G11" s="224"/>
      <c r="H11" s="565"/>
      <c r="I11" s="4"/>
      <c r="J11" s="224"/>
      <c r="K11" s="562"/>
      <c r="L11" s="560"/>
      <c r="M11" s="560"/>
      <c r="N11" s="560"/>
    </row>
    <row r="12" spans="2:17">
      <c r="B12" t="s">
        <v>472</v>
      </c>
      <c r="C12" s="1">
        <f>+'12.Facility 1 Dal Mill'!J19</f>
        <v>0</v>
      </c>
      <c r="D12" s="224">
        <v>200</v>
      </c>
      <c r="E12" s="224">
        <f>+'[15]13.Facility 2 Grain Processing'!$C$180</f>
        <v>1800</v>
      </c>
      <c r="F12" s="224" t="e">
        <f>+'12.Facility 1 Dal Mill'!#REF!*10</f>
        <v>#REF!</v>
      </c>
      <c r="G12" s="224" t="e">
        <f>+D12*F12</f>
        <v>#REF!</v>
      </c>
      <c r="H12" s="565">
        <f>+D12/5</f>
        <v>40</v>
      </c>
      <c r="I12" s="4">
        <v>0.97</v>
      </c>
      <c r="J12" s="224">
        <f>+D12*I12</f>
        <v>194</v>
      </c>
      <c r="K12" s="562">
        <f>+J12</f>
        <v>194</v>
      </c>
      <c r="L12" s="560"/>
      <c r="M12" s="560" t="e">
        <f>+'12.Facility 1 Dal Mill'!#REF!*20</f>
        <v>#REF!</v>
      </c>
      <c r="N12" s="560" t="e">
        <f>+K12*M12</f>
        <v>#REF!</v>
      </c>
      <c r="Q12">
        <f>+D12/10</f>
        <v>20</v>
      </c>
    </row>
    <row r="13" spans="2:17">
      <c r="B13" t="s">
        <v>402</v>
      </c>
      <c r="C13" s="1">
        <f>+'12.Facility 1 Dal Mill'!J22</f>
        <v>0</v>
      </c>
      <c r="D13" s="224">
        <v>600</v>
      </c>
      <c r="E13" s="224">
        <f>+'[15]13.Facility 2 Grain Processing'!$C$183</f>
        <v>2000</v>
      </c>
      <c r="F13" s="224" t="e">
        <f>+'12.Facility 1 Dal Mill'!#REF!*10</f>
        <v>#REF!</v>
      </c>
      <c r="G13" s="224" t="e">
        <f>+D13*F13</f>
        <v>#REF!</v>
      </c>
      <c r="H13" s="565">
        <f>+D13/5</f>
        <v>120</v>
      </c>
      <c r="I13" s="4">
        <v>0.97</v>
      </c>
      <c r="J13" s="224">
        <f>+D13*I13</f>
        <v>582</v>
      </c>
      <c r="K13" s="562">
        <f>+J13</f>
        <v>582</v>
      </c>
      <c r="L13" s="560"/>
      <c r="M13" s="560" t="e">
        <f>+'12.Facility 1 Dal Mill'!#REF!*20</f>
        <v>#REF!</v>
      </c>
      <c r="N13" s="560" t="e">
        <f>+K13*M13</f>
        <v>#REF!</v>
      </c>
      <c r="Q13">
        <f>+D13/10</f>
        <v>60</v>
      </c>
    </row>
    <row r="14" spans="2:17">
      <c r="B14" t="s">
        <v>404</v>
      </c>
      <c r="C14">
        <v>1300</v>
      </c>
      <c r="D14" s="224">
        <v>130</v>
      </c>
      <c r="E14" s="224">
        <f>+'[15]13.Facility 2 Grain Processing'!$C$184</f>
        <v>1850</v>
      </c>
      <c r="F14" s="224" t="e">
        <f>+'12.Facility 1 Dal Mill'!#REF!*10</f>
        <v>#REF!</v>
      </c>
      <c r="G14" s="224" t="e">
        <f>+D14*F14</f>
        <v>#REF!</v>
      </c>
      <c r="H14" s="565">
        <f>+D14/5</f>
        <v>26</v>
      </c>
      <c r="I14" s="4">
        <v>0.97</v>
      </c>
      <c r="J14" s="1">
        <f>+D14*I14</f>
        <v>126.1</v>
      </c>
      <c r="K14" s="562">
        <f>+J14</f>
        <v>126.1</v>
      </c>
      <c r="L14" s="560"/>
      <c r="M14" s="560" t="e">
        <f>+'12.Facility 1 Dal Mill'!#REF!*20</f>
        <v>#REF!</v>
      </c>
      <c r="N14" s="560" t="e">
        <f>+K14*M14</f>
        <v>#REF!</v>
      </c>
      <c r="Q14">
        <f>+D14/10</f>
        <v>13</v>
      </c>
    </row>
    <row r="15" spans="2:17">
      <c r="D15" s="224"/>
      <c r="E15" s="224"/>
      <c r="F15" s="224"/>
      <c r="G15" s="224"/>
      <c r="H15" s="565"/>
      <c r="I15" s="4"/>
      <c r="J15" s="224"/>
      <c r="K15" s="562"/>
      <c r="L15" s="560"/>
      <c r="M15" s="560"/>
      <c r="N15" s="560"/>
    </row>
    <row r="16" spans="2:17">
      <c r="D16" s="224">
        <f>+D15/5</f>
        <v>0</v>
      </c>
      <c r="E16" s="224"/>
      <c r="F16" s="224"/>
      <c r="G16" s="224"/>
      <c r="H16" s="224"/>
      <c r="I16" s="4"/>
      <c r="K16" s="560"/>
      <c r="L16" s="560"/>
      <c r="M16" s="560"/>
      <c r="N16" s="560"/>
    </row>
    <row r="17" spans="2:16">
      <c r="B17" s="164" t="s">
        <v>141</v>
      </c>
      <c r="C17">
        <f>SUM(C5:C16)</f>
        <v>41230.759751680016</v>
      </c>
      <c r="I17" s="4">
        <v>0.03</v>
      </c>
      <c r="J17">
        <f>((D11+D12+D13+D14+D15)*3%)</f>
        <v>27.9</v>
      </c>
      <c r="K17" s="562">
        <f>+(D12+D13+D14)*I17</f>
        <v>27.9</v>
      </c>
      <c r="L17" s="560">
        <f>+'[15]13.Facility 2 Grain Processing'!$C$146</f>
        <v>12</v>
      </c>
      <c r="M17" s="560">
        <v>10000</v>
      </c>
      <c r="N17" s="560">
        <v>280000</v>
      </c>
      <c r="P17">
        <f>+K17*M17</f>
        <v>279000</v>
      </c>
    </row>
    <row r="18" spans="2:16">
      <c r="B18" s="164"/>
      <c r="D18" s="563">
        <f>SUM(D11:D17)</f>
        <v>930</v>
      </c>
      <c r="E18" s="566"/>
      <c r="F18" s="566"/>
      <c r="G18" s="563" t="e">
        <f>SUM(G11:G17)</f>
        <v>#REF!</v>
      </c>
      <c r="I18" s="4"/>
      <c r="K18" s="562">
        <f>SUM(K11:K16)</f>
        <v>902.1</v>
      </c>
      <c r="L18" s="560"/>
      <c r="M18" s="560"/>
      <c r="N18" s="560"/>
    </row>
    <row r="19" spans="2:16">
      <c r="B19" s="164"/>
      <c r="D19" s="563"/>
      <c r="E19" s="566"/>
      <c r="F19" s="566"/>
      <c r="G19" s="566"/>
      <c r="I19" s="4"/>
      <c r="K19" s="562"/>
      <c r="L19" s="560"/>
      <c r="M19" s="560"/>
      <c r="N19" s="560"/>
    </row>
    <row r="20" spans="2:16">
      <c r="B20" s="164"/>
      <c r="D20" s="563"/>
      <c r="E20" s="566"/>
      <c r="F20" s="566"/>
      <c r="G20" s="563" t="e">
        <f>+G18+G10</f>
        <v>#REF!</v>
      </c>
      <c r="I20" s="4"/>
      <c r="K20" s="562"/>
      <c r="L20" s="560"/>
      <c r="M20" s="560"/>
      <c r="N20" s="560" t="e">
        <f>SUM(N5:N19)</f>
        <v>#REF!</v>
      </c>
    </row>
    <row r="21" spans="2:16">
      <c r="B21" s="164"/>
      <c r="D21" s="563"/>
      <c r="E21" s="566"/>
      <c r="F21" s="566"/>
      <c r="G21" s="566"/>
      <c r="I21" s="4"/>
      <c r="K21" s="562"/>
      <c r="L21" s="560"/>
      <c r="M21" s="560"/>
      <c r="N21" s="560"/>
    </row>
    <row r="22" spans="2:16">
      <c r="B22" s="164" t="s">
        <v>188</v>
      </c>
      <c r="D22">
        <v>2</v>
      </c>
      <c r="F22">
        <f>+'12.Facility 1 Dal Mill'!C175</f>
        <v>15000</v>
      </c>
      <c r="G22">
        <f>+F22*12*2</f>
        <v>360000</v>
      </c>
    </row>
    <row r="23" spans="2:16">
      <c r="B23" s="164" t="s">
        <v>698</v>
      </c>
      <c r="D23">
        <f>+'[15]13.Facility 2 Grain Processing'!$B$206</f>
        <v>6</v>
      </c>
      <c r="F23">
        <f>250*30</f>
        <v>7500</v>
      </c>
      <c r="G23">
        <f>+D23*F23*12</f>
        <v>540000</v>
      </c>
    </row>
    <row r="24" spans="2:16">
      <c r="B24" s="164" t="s">
        <v>1620</v>
      </c>
      <c r="D24">
        <v>1</v>
      </c>
      <c r="F24" t="e">
        <f>+'12.Facility 1 Dal Mill'!#REF!</f>
        <v>#REF!</v>
      </c>
      <c r="G24" t="e">
        <f>+(F24*D24)*12</f>
        <v>#REF!</v>
      </c>
    </row>
    <row r="25" spans="2:16">
      <c r="B25" s="164"/>
      <c r="G25" t="e">
        <f>SUM(G22:G24)</f>
        <v>#REF!</v>
      </c>
    </row>
    <row r="26" spans="2:16">
      <c r="B26" s="164"/>
    </row>
    <row r="27" spans="2:16">
      <c r="B27" s="164" t="s">
        <v>366</v>
      </c>
      <c r="D27">
        <f>+'[15]13.Facility 2 Grain Processing'!$B$188</f>
        <v>4</v>
      </c>
      <c r="F27">
        <f>+'[15]13.Facility 2 Grain Processing'!$C$188</f>
        <v>100</v>
      </c>
      <c r="G27">
        <f>+(D27*F27)*K27</f>
        <v>710000</v>
      </c>
      <c r="K27" s="224">
        <f>SUM(K5:K6)</f>
        <v>1775</v>
      </c>
    </row>
    <row r="28" spans="2:16">
      <c r="B28" s="164" t="s">
        <v>324</v>
      </c>
      <c r="D28">
        <f>+'[15]13.Facility 2 Grain Processing'!$B$189</f>
        <v>5</v>
      </c>
      <c r="F28">
        <f>+'[15]13.Facility 2 Grain Processing'!$C$189</f>
        <v>400</v>
      </c>
      <c r="G28">
        <f>(D28*F28)*200</f>
        <v>400000</v>
      </c>
    </row>
    <row r="29" spans="2:16">
      <c r="B29" s="164" t="s">
        <v>144</v>
      </c>
      <c r="D29">
        <f>70*8</f>
        <v>560</v>
      </c>
      <c r="F29">
        <f>+'[15]13.Facility 2 Grain Processing'!$C$190</f>
        <v>9</v>
      </c>
      <c r="G29" s="307">
        <f>+D29*F29*200</f>
        <v>1008000</v>
      </c>
    </row>
    <row r="30" spans="2:16">
      <c r="B30" s="164" t="s">
        <v>297</v>
      </c>
      <c r="D30" s="224">
        <v>6000</v>
      </c>
      <c r="F30">
        <v>300</v>
      </c>
      <c r="G30">
        <f>+D30*F30</f>
        <v>1800000</v>
      </c>
    </row>
    <row r="31" spans="2:16">
      <c r="B31" s="294" t="s">
        <v>298</v>
      </c>
      <c r="D31" s="567">
        <v>3000</v>
      </c>
      <c r="F31">
        <v>300</v>
      </c>
      <c r="G31">
        <f>+D31*F31</f>
        <v>900000</v>
      </c>
    </row>
    <row r="32" spans="2:16">
      <c r="B32" s="164" t="s">
        <v>696</v>
      </c>
      <c r="D32" s="224">
        <v>3600</v>
      </c>
      <c r="F32">
        <v>300</v>
      </c>
      <c r="G32">
        <f>+D32*F32</f>
        <v>1080000</v>
      </c>
    </row>
    <row r="33" spans="2:9">
      <c r="B33" s="164" t="s">
        <v>697</v>
      </c>
      <c r="D33" s="224">
        <v>3000</v>
      </c>
      <c r="F33">
        <v>500</v>
      </c>
      <c r="G33">
        <f>+D33*F33</f>
        <v>1500000</v>
      </c>
      <c r="H33" s="224"/>
    </row>
    <row r="34" spans="2:9">
      <c r="B34" s="196" t="s">
        <v>694</v>
      </c>
      <c r="D34" s="224">
        <v>3600</v>
      </c>
      <c r="F34">
        <v>300</v>
      </c>
      <c r="G34">
        <f>+D34*F34</f>
        <v>1080000</v>
      </c>
    </row>
    <row r="35" spans="2:9">
      <c r="H35" s="224"/>
    </row>
    <row r="36" spans="2:9">
      <c r="G36" s="224">
        <f>SUM(G27:G35)</f>
        <v>8478000</v>
      </c>
      <c r="H36" s="224" t="e">
        <f>+G20+G36</f>
        <v>#REF!</v>
      </c>
      <c r="I36" s="224"/>
    </row>
    <row r="37" spans="2:9">
      <c r="G37" s="224" t="e">
        <f>+N20-G20-G25-G36</f>
        <v>#REF!</v>
      </c>
    </row>
  </sheetData>
  <mergeCells count="2">
    <mergeCell ref="D3:G3"/>
    <mergeCell ref="K3:N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
  <sheetViews>
    <sheetView showFormulas="1" showGridLines="0" view="pageBreakPreview" zoomScale="55" zoomScaleSheetLayoutView="55" workbookViewId="0">
      <selection activeCell="J17" sqref="J17"/>
    </sheetView>
  </sheetViews>
  <sheetFormatPr defaultRowHeight="15.75"/>
  <cols>
    <col min="1" max="1" width="3.42578125" style="338" customWidth="1"/>
    <col min="2" max="2" width="0.7109375" style="336" customWidth="1"/>
    <col min="3" max="3" width="3.5703125" style="336" customWidth="1"/>
    <col min="4" max="4" width="24.140625" style="336" customWidth="1"/>
    <col min="5" max="5" width="23.7109375" style="336" customWidth="1"/>
    <col min="6" max="6" width="3.7109375" style="336" customWidth="1"/>
    <col min="7" max="7" width="1.140625" style="336" customWidth="1"/>
    <col min="8" max="8" width="4.42578125" style="336" customWidth="1"/>
  </cols>
  <sheetData>
    <row r="1" spans="1:8">
      <c r="A1" s="328"/>
      <c r="B1" s="747"/>
      <c r="C1" s="747"/>
      <c r="D1" s="747"/>
      <c r="E1" s="747"/>
      <c r="F1" s="747"/>
      <c r="G1" s="747"/>
      <c r="H1" s="747"/>
    </row>
    <row r="2" spans="1:8">
      <c r="A2" s="329"/>
      <c r="B2" s="747"/>
      <c r="C2" s="747"/>
      <c r="D2" s="747"/>
      <c r="E2" s="747"/>
      <c r="F2" s="747"/>
      <c r="G2" s="747"/>
      <c r="H2" s="747"/>
    </row>
    <row r="3" spans="1:8" ht="10.5" customHeight="1">
      <c r="A3" s="330"/>
      <c r="B3" s="748"/>
      <c r="C3" s="749"/>
      <c r="D3" s="749"/>
      <c r="E3" s="749"/>
      <c r="F3" s="352"/>
      <c r="G3" s="353"/>
      <c r="H3" s="332"/>
    </row>
    <row r="4" spans="1:8">
      <c r="A4" s="330"/>
      <c r="B4" s="354"/>
      <c r="C4" s="331"/>
      <c r="D4" s="331"/>
      <c r="E4" s="331"/>
      <c r="F4" s="331"/>
      <c r="G4" s="355"/>
      <c r="H4" s="331"/>
    </row>
    <row r="5" spans="1:8">
      <c r="A5" s="330"/>
      <c r="B5" s="354"/>
      <c r="C5" s="331"/>
      <c r="D5" s="331"/>
      <c r="E5" s="331"/>
      <c r="F5" s="331"/>
      <c r="G5" s="355"/>
      <c r="H5" s="331"/>
    </row>
    <row r="6" spans="1:8">
      <c r="A6" s="330"/>
      <c r="B6" s="737"/>
      <c r="C6" s="738"/>
      <c r="D6" s="738"/>
      <c r="E6" s="738"/>
      <c r="F6" s="331"/>
      <c r="G6" s="355"/>
      <c r="H6" s="331"/>
    </row>
    <row r="7" spans="1:8">
      <c r="A7" s="330"/>
      <c r="B7" s="354"/>
      <c r="C7" s="331"/>
      <c r="D7" s="331"/>
      <c r="E7" s="331"/>
      <c r="F7" s="331"/>
      <c r="G7" s="355"/>
      <c r="H7" s="331"/>
    </row>
    <row r="8" spans="1:8">
      <c r="A8" s="330"/>
      <c r="B8" s="354"/>
      <c r="C8" s="331"/>
      <c r="D8" s="331"/>
      <c r="E8" s="331"/>
      <c r="F8" s="331"/>
      <c r="G8" s="355"/>
      <c r="H8" s="331"/>
    </row>
    <row r="9" spans="1:8">
      <c r="A9" s="330"/>
      <c r="B9" s="354"/>
      <c r="C9" s="331"/>
      <c r="D9" s="331"/>
      <c r="E9" s="331"/>
      <c r="F9" s="331"/>
      <c r="G9" s="355"/>
      <c r="H9" s="331"/>
    </row>
    <row r="10" spans="1:8" ht="30">
      <c r="A10" s="330"/>
      <c r="B10" s="356"/>
      <c r="D10" s="762" t="s">
        <v>793</v>
      </c>
      <c r="E10" s="762"/>
      <c r="F10" s="331"/>
      <c r="G10" s="355"/>
      <c r="H10" s="331"/>
    </row>
    <row r="11" spans="1:8">
      <c r="A11" s="330"/>
      <c r="B11" s="354"/>
      <c r="C11" s="331"/>
      <c r="D11" s="332"/>
      <c r="E11" s="332"/>
      <c r="F11" s="331"/>
      <c r="G11" s="355"/>
      <c r="H11" s="331"/>
    </row>
    <row r="12" spans="1:8">
      <c r="A12" s="330"/>
      <c r="B12" s="354"/>
      <c r="C12" s="331"/>
      <c r="D12" s="332"/>
      <c r="E12" s="332"/>
      <c r="F12" s="331"/>
      <c r="G12" s="355"/>
      <c r="H12" s="331"/>
    </row>
    <row r="13" spans="1:8" ht="26.25">
      <c r="A13" s="330"/>
      <c r="B13" s="354"/>
      <c r="C13" s="331"/>
      <c r="D13" s="763" t="s">
        <v>794</v>
      </c>
      <c r="E13" s="763"/>
      <c r="F13" s="331"/>
      <c r="G13" s="355"/>
      <c r="H13" s="331"/>
    </row>
    <row r="14" spans="1:8">
      <c r="A14" s="330"/>
      <c r="B14" s="354"/>
      <c r="C14" s="331"/>
      <c r="D14" s="332"/>
      <c r="E14" s="332"/>
      <c r="F14" s="331"/>
      <c r="G14" s="355"/>
      <c r="H14" s="331"/>
    </row>
    <row r="15" spans="1:8">
      <c r="A15" s="330"/>
      <c r="B15" s="354"/>
      <c r="C15" s="331"/>
      <c r="D15" s="332"/>
      <c r="E15" s="332"/>
      <c r="F15" s="331"/>
      <c r="G15" s="355"/>
      <c r="H15" s="331"/>
    </row>
    <row r="16" spans="1:8" ht="7.5" customHeight="1">
      <c r="A16" s="330"/>
      <c r="B16" s="354"/>
      <c r="C16" s="331"/>
      <c r="D16" s="332"/>
      <c r="E16" s="332"/>
      <c r="F16" s="331"/>
      <c r="G16" s="355"/>
      <c r="H16" s="331"/>
    </row>
    <row r="17" spans="1:8" ht="27.75">
      <c r="A17" s="330"/>
      <c r="B17" s="356"/>
      <c r="D17" s="739" t="s">
        <v>762</v>
      </c>
      <c r="E17" s="739"/>
      <c r="F17" s="331"/>
      <c r="G17" s="355"/>
      <c r="H17" s="331"/>
    </row>
    <row r="18" spans="1:8">
      <c r="A18" s="330"/>
      <c r="B18" s="354"/>
      <c r="C18" s="331"/>
      <c r="D18" s="332"/>
      <c r="E18" s="332"/>
      <c r="F18" s="331"/>
      <c r="G18" s="355"/>
      <c r="H18" s="331"/>
    </row>
    <row r="19" spans="1:8">
      <c r="A19" s="330"/>
      <c r="B19" s="354"/>
      <c r="C19" s="331"/>
      <c r="D19" s="331"/>
      <c r="E19" s="331"/>
      <c r="F19" s="331"/>
      <c r="G19" s="355"/>
      <c r="H19" s="333"/>
    </row>
    <row r="20" spans="1:8">
      <c r="A20" s="330"/>
      <c r="B20" s="354"/>
      <c r="C20" s="331"/>
      <c r="D20" s="331"/>
      <c r="E20" s="331"/>
      <c r="F20" s="331"/>
      <c r="G20" s="355"/>
      <c r="H20" s="333"/>
    </row>
    <row r="21" spans="1:8">
      <c r="A21" s="330"/>
      <c r="B21" s="354"/>
      <c r="C21" s="331"/>
      <c r="D21" s="331"/>
      <c r="E21" s="331"/>
      <c r="F21" s="331"/>
      <c r="G21" s="355"/>
      <c r="H21" s="333"/>
    </row>
    <row r="22" spans="1:8">
      <c r="A22" s="330"/>
      <c r="B22" s="354"/>
      <c r="C22" s="331"/>
      <c r="D22" s="331"/>
      <c r="E22" s="331"/>
      <c r="F22" s="331"/>
      <c r="G22" s="355"/>
      <c r="H22" s="333"/>
    </row>
    <row r="23" spans="1:8">
      <c r="A23" s="330"/>
      <c r="B23" s="356"/>
      <c r="G23" s="357"/>
      <c r="H23" s="333"/>
    </row>
    <row r="24" spans="1:8" ht="15.75" customHeight="1">
      <c r="A24" s="337"/>
      <c r="B24" s="752"/>
      <c r="C24" s="753"/>
      <c r="D24" s="753"/>
      <c r="E24" s="753"/>
      <c r="F24" s="358"/>
      <c r="G24" s="359"/>
      <c r="H24" s="360"/>
    </row>
    <row r="25" spans="1:8">
      <c r="A25" s="330"/>
      <c r="B25" s="356"/>
      <c r="G25" s="357"/>
    </row>
    <row r="26" spans="1:8">
      <c r="A26" s="330"/>
      <c r="B26" s="354"/>
      <c r="C26" s="331"/>
      <c r="D26" s="331"/>
      <c r="E26" s="338"/>
      <c r="F26" s="338"/>
      <c r="G26" s="361"/>
      <c r="H26" s="339"/>
    </row>
    <row r="27" spans="1:8" ht="15.75" customHeight="1">
      <c r="A27" s="330"/>
      <c r="B27" s="730"/>
      <c r="C27" s="731"/>
      <c r="D27" s="731"/>
      <c r="E27" s="731"/>
      <c r="F27" s="343"/>
      <c r="G27" s="362"/>
      <c r="H27" s="743"/>
    </row>
    <row r="28" spans="1:8">
      <c r="A28" s="330"/>
      <c r="B28" s="730"/>
      <c r="C28" s="731"/>
      <c r="D28" s="731"/>
      <c r="E28" s="731"/>
      <c r="F28" s="343"/>
      <c r="G28" s="362"/>
      <c r="H28" s="743"/>
    </row>
    <row r="29" spans="1:8">
      <c r="A29" s="330"/>
      <c r="B29" s="363"/>
      <c r="C29" s="343"/>
      <c r="D29" s="343"/>
      <c r="E29" s="343"/>
      <c r="F29" s="343"/>
      <c r="G29" s="362"/>
      <c r="H29" s="344"/>
    </row>
    <row r="30" spans="1:8">
      <c r="A30" s="330"/>
      <c r="B30" s="364"/>
      <c r="C30" s="332"/>
      <c r="D30" s="332"/>
      <c r="E30" s="332"/>
      <c r="F30" s="332"/>
      <c r="G30" s="365"/>
      <c r="H30" s="332"/>
    </row>
    <row r="31" spans="1:8">
      <c r="A31" s="330"/>
      <c r="B31" s="737"/>
      <c r="C31" s="738"/>
      <c r="D31" s="738"/>
      <c r="E31" s="738"/>
      <c r="F31" s="331"/>
      <c r="G31" s="355"/>
      <c r="H31" s="345"/>
    </row>
    <row r="32" spans="1:8" ht="15.75" hidden="1" customHeight="1">
      <c r="A32" s="330"/>
      <c r="B32" s="737" t="s">
        <v>774</v>
      </c>
      <c r="C32" s="738"/>
      <c r="D32" s="738"/>
      <c r="E32" s="738"/>
      <c r="F32" s="331"/>
      <c r="G32" s="355"/>
      <c r="H32" s="345" t="s">
        <v>770</v>
      </c>
    </row>
    <row r="33" spans="1:8" hidden="1">
      <c r="A33" s="330"/>
      <c r="B33" s="354" t="s">
        <v>775</v>
      </c>
      <c r="C33" s="331"/>
      <c r="D33" s="331"/>
      <c r="E33" s="331"/>
      <c r="F33" s="331"/>
      <c r="G33" s="355"/>
      <c r="H33" s="345" t="s">
        <v>770</v>
      </c>
    </row>
    <row r="34" spans="1:8">
      <c r="A34" s="330"/>
      <c r="B34" s="737"/>
      <c r="C34" s="738"/>
      <c r="D34" s="738"/>
      <c r="E34" s="738"/>
      <c r="F34" s="331"/>
      <c r="G34" s="355"/>
      <c r="H34" s="345"/>
    </row>
    <row r="35" spans="1:8">
      <c r="A35" s="330"/>
      <c r="B35" s="761"/>
      <c r="C35" s="733"/>
      <c r="D35" s="733"/>
      <c r="E35" s="733"/>
      <c r="F35" s="330"/>
      <c r="G35" s="366"/>
      <c r="H35" s="339"/>
    </row>
    <row r="36" spans="1:8">
      <c r="A36" s="330"/>
      <c r="B36" s="356"/>
      <c r="G36" s="357"/>
    </row>
    <row r="37" spans="1:8">
      <c r="A37" s="330"/>
      <c r="B37" s="373"/>
      <c r="C37" s="341"/>
      <c r="D37" s="733"/>
      <c r="E37" s="733"/>
      <c r="F37" s="332"/>
      <c r="G37" s="365"/>
      <c r="H37" s="339"/>
    </row>
    <row r="38" spans="1:8">
      <c r="A38" s="330"/>
      <c r="B38" s="356"/>
      <c r="D38" s="733" t="s">
        <v>801</v>
      </c>
      <c r="E38" s="733"/>
      <c r="G38" s="357"/>
    </row>
    <row r="39" spans="1:8" ht="15.75" customHeight="1">
      <c r="A39" s="330"/>
      <c r="B39" s="730"/>
      <c r="C39" s="731"/>
      <c r="D39" s="731"/>
      <c r="E39" s="338"/>
      <c r="F39" s="338"/>
      <c r="G39" s="361"/>
      <c r="H39" s="331"/>
    </row>
    <row r="40" spans="1:8">
      <c r="A40" s="330"/>
      <c r="B40" s="730"/>
      <c r="C40" s="731"/>
      <c r="D40" s="731"/>
      <c r="E40" s="338"/>
      <c r="F40" s="338"/>
      <c r="G40" s="361"/>
      <c r="H40" s="331"/>
    </row>
    <row r="41" spans="1:8" ht="36" customHeight="1">
      <c r="A41" s="330"/>
      <c r="B41" s="356"/>
      <c r="D41" s="732" t="s">
        <v>806</v>
      </c>
      <c r="E41" s="732"/>
      <c r="F41" s="338"/>
      <c r="G41" s="361"/>
    </row>
    <row r="42" spans="1:8">
      <c r="A42" s="330"/>
      <c r="B42" s="354"/>
      <c r="C42" s="331"/>
      <c r="D42" s="331"/>
      <c r="E42" s="338"/>
      <c r="F42" s="338"/>
      <c r="G42" s="361"/>
      <c r="H42" s="331"/>
    </row>
    <row r="43" spans="1:8">
      <c r="A43" s="330"/>
      <c r="B43" s="354"/>
      <c r="C43" s="331"/>
      <c r="D43" s="733" t="s">
        <v>802</v>
      </c>
      <c r="E43" s="733"/>
      <c r="F43" s="338"/>
      <c r="G43" s="361"/>
      <c r="H43" s="331"/>
    </row>
    <row r="44" spans="1:8">
      <c r="A44" s="330"/>
      <c r="B44" s="354"/>
      <c r="C44" s="331"/>
      <c r="D44" s="734" t="s">
        <v>807</v>
      </c>
      <c r="E44" s="734"/>
      <c r="F44" s="338"/>
      <c r="G44" s="361"/>
      <c r="H44" s="331"/>
    </row>
    <row r="45" spans="1:8" ht="15.75" customHeight="1">
      <c r="A45" s="330"/>
      <c r="B45" s="735"/>
      <c r="C45" s="736"/>
      <c r="D45" s="736"/>
      <c r="E45" s="338"/>
      <c r="F45" s="338"/>
      <c r="G45" s="361"/>
    </row>
    <row r="46" spans="1:8">
      <c r="A46" s="330"/>
      <c r="B46" s="735"/>
      <c r="C46" s="736"/>
      <c r="D46" s="736"/>
      <c r="E46" s="338"/>
      <c r="F46" s="338"/>
      <c r="G46" s="361"/>
    </row>
    <row r="47" spans="1:8">
      <c r="A47" s="330"/>
      <c r="B47" s="354"/>
      <c r="C47" s="331"/>
      <c r="E47" s="338"/>
      <c r="F47" s="338"/>
      <c r="G47" s="361"/>
    </row>
    <row r="48" spans="1:8">
      <c r="A48" s="330"/>
      <c r="B48" s="737"/>
      <c r="C48" s="738"/>
      <c r="D48" s="738"/>
      <c r="E48" s="338"/>
      <c r="F48" s="338"/>
      <c r="G48" s="361"/>
      <c r="H48" s="331"/>
    </row>
    <row r="49" spans="1:11">
      <c r="A49" s="330"/>
      <c r="B49" s="356"/>
      <c r="E49" s="338"/>
      <c r="F49" s="338"/>
      <c r="G49" s="361"/>
    </row>
    <row r="50" spans="1:11">
      <c r="A50" s="330"/>
      <c r="B50" s="356"/>
      <c r="E50" s="338"/>
      <c r="F50" s="338"/>
      <c r="G50" s="361"/>
      <c r="K50" t="s">
        <v>795</v>
      </c>
    </row>
    <row r="51" spans="1:11">
      <c r="A51" s="330"/>
      <c r="B51" s="737"/>
      <c r="C51" s="738"/>
      <c r="D51" s="738"/>
      <c r="E51" s="338"/>
      <c r="F51" s="338"/>
      <c r="G51" s="361"/>
      <c r="H51" s="331"/>
    </row>
    <row r="52" spans="1:11">
      <c r="A52" s="330"/>
      <c r="B52" s="356"/>
      <c r="E52" s="338"/>
      <c r="F52" s="338"/>
      <c r="G52" s="361"/>
      <c r="H52" s="350"/>
      <c r="K52" t="s">
        <v>796</v>
      </c>
    </row>
    <row r="53" spans="1:11">
      <c r="A53" s="330"/>
      <c r="B53" s="356"/>
      <c r="E53" s="338"/>
      <c r="F53" s="338"/>
      <c r="G53" s="361"/>
    </row>
    <row r="54" spans="1:11">
      <c r="A54" s="330"/>
      <c r="B54" s="744"/>
      <c r="C54" s="745"/>
      <c r="D54" s="746"/>
      <c r="E54" s="338"/>
      <c r="F54" s="338"/>
      <c r="G54" s="361"/>
      <c r="H54" s="331"/>
    </row>
    <row r="55" spans="1:11">
      <c r="A55" s="330"/>
      <c r="B55" s="356"/>
      <c r="D55" s="357"/>
      <c r="E55" s="338"/>
      <c r="F55" s="338"/>
      <c r="G55" s="361"/>
    </row>
    <row r="56" spans="1:11">
      <c r="A56" s="330"/>
      <c r="B56" s="356"/>
      <c r="D56" s="367" t="s">
        <v>797</v>
      </c>
      <c r="E56" s="338"/>
      <c r="F56" s="338"/>
      <c r="G56" s="361"/>
    </row>
    <row r="57" spans="1:11">
      <c r="A57" s="330"/>
      <c r="B57" s="356"/>
      <c r="D57" s="357" t="s">
        <v>798</v>
      </c>
      <c r="E57" s="338"/>
      <c r="F57" s="338"/>
      <c r="G57" s="361"/>
      <c r="H57" s="351"/>
    </row>
    <row r="58" spans="1:11">
      <c r="A58" s="330"/>
      <c r="B58" s="354"/>
      <c r="C58" s="331"/>
      <c r="D58" s="355" t="s">
        <v>799</v>
      </c>
      <c r="E58" s="338"/>
      <c r="F58" s="338"/>
      <c r="G58" s="361"/>
      <c r="H58" s="331"/>
    </row>
    <row r="59" spans="1:11">
      <c r="A59" s="330"/>
      <c r="B59" s="354"/>
      <c r="C59" s="331"/>
      <c r="D59" s="355" t="s">
        <v>800</v>
      </c>
      <c r="E59" s="338"/>
      <c r="F59" s="338"/>
      <c r="G59" s="361"/>
      <c r="H59" s="331"/>
    </row>
    <row r="60" spans="1:11">
      <c r="A60" s="330"/>
      <c r="B60" s="354"/>
      <c r="C60" s="331"/>
      <c r="D60" s="355"/>
      <c r="E60" s="338"/>
      <c r="F60" s="338"/>
      <c r="G60" s="361"/>
      <c r="H60" s="331"/>
    </row>
    <row r="61" spans="1:11">
      <c r="A61" s="330"/>
      <c r="B61" s="354"/>
      <c r="C61" s="331"/>
      <c r="D61" s="355"/>
      <c r="E61" s="338"/>
      <c r="F61" s="338"/>
      <c r="G61" s="361"/>
      <c r="H61" s="331"/>
    </row>
    <row r="62" spans="1:11" ht="9.75" customHeight="1">
      <c r="A62" s="330"/>
      <c r="B62" s="368"/>
      <c r="C62" s="369"/>
      <c r="D62" s="370"/>
      <c r="E62" s="371"/>
      <c r="F62" s="371"/>
      <c r="G62" s="372"/>
      <c r="H62" s="331"/>
    </row>
    <row r="63" spans="1:11" ht="15.75" customHeight="1">
      <c r="A63" s="330"/>
      <c r="B63" s="736"/>
      <c r="C63" s="736"/>
      <c r="D63" s="736"/>
      <c r="E63" s="338"/>
      <c r="F63" s="338"/>
      <c r="G63" s="338"/>
      <c r="H63" s="345"/>
    </row>
    <row r="64" spans="1:11">
      <c r="A64" s="330"/>
      <c r="B64" s="736"/>
      <c r="C64" s="736"/>
      <c r="D64" s="736"/>
      <c r="E64" s="338"/>
      <c r="F64" s="338"/>
      <c r="G64" s="338"/>
    </row>
  </sheetData>
  <mergeCells count="24">
    <mergeCell ref="B34:E34"/>
    <mergeCell ref="B1:H2"/>
    <mergeCell ref="B3:E3"/>
    <mergeCell ref="B6:E6"/>
    <mergeCell ref="D10:E10"/>
    <mergeCell ref="D13:E13"/>
    <mergeCell ref="D17:E17"/>
    <mergeCell ref="B24:E24"/>
    <mergeCell ref="B27:E28"/>
    <mergeCell ref="H27:H28"/>
    <mergeCell ref="B31:E31"/>
    <mergeCell ref="B32:E32"/>
    <mergeCell ref="B35:E35"/>
    <mergeCell ref="B39:D40"/>
    <mergeCell ref="B45:D46"/>
    <mergeCell ref="B48:D48"/>
    <mergeCell ref="B51:D51"/>
    <mergeCell ref="B54:D54"/>
    <mergeCell ref="B63:D64"/>
    <mergeCell ref="D37:E37"/>
    <mergeCell ref="D41:E41"/>
    <mergeCell ref="D43:E43"/>
    <mergeCell ref="D38:E38"/>
    <mergeCell ref="D44:E44"/>
  </mergeCells>
  <pageMargins left="0.25" right="0.25" top="0.75" bottom="0.75" header="0.3" footer="0.3"/>
  <pageSetup paperSize="9" scale="7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5"/>
  <sheetViews>
    <sheetView workbookViewId="0">
      <selection activeCell="I15" sqref="I15"/>
    </sheetView>
  </sheetViews>
  <sheetFormatPr defaultRowHeight="15"/>
  <cols>
    <col min="2" max="2" width="32" bestFit="1" customWidth="1"/>
  </cols>
  <sheetData>
    <row r="4" spans="2:6">
      <c r="B4" s="69" t="s">
        <v>328</v>
      </c>
      <c r="C4">
        <v>1500</v>
      </c>
      <c r="D4">
        <v>100</v>
      </c>
      <c r="E4">
        <f>+(C4*D4)*12</f>
        <v>1800000</v>
      </c>
      <c r="F4">
        <f>+E4</f>
        <v>1800000</v>
      </c>
    </row>
    <row r="7" spans="2:6">
      <c r="B7" s="69" t="s">
        <v>305</v>
      </c>
      <c r="C7">
        <f>+C4</f>
        <v>1500</v>
      </c>
      <c r="D7">
        <f>+'14. Facility 3 Warehouse'!C27</f>
        <v>14</v>
      </c>
      <c r="E7">
        <f>+(C7*D7)*4</f>
        <v>84000</v>
      </c>
    </row>
    <row r="8" spans="2:6">
      <c r="B8" s="69" t="s">
        <v>306</v>
      </c>
      <c r="C8">
        <f>+C4</f>
        <v>1500</v>
      </c>
      <c r="D8">
        <f>+'14. Facility 3 Warehouse'!C28</f>
        <v>14</v>
      </c>
      <c r="E8">
        <f>+(C8*D8)*12</f>
        <v>252000</v>
      </c>
    </row>
    <row r="9" spans="2:6">
      <c r="B9" s="69" t="s">
        <v>307</v>
      </c>
      <c r="D9">
        <f>+'14. Facility 3 Warehouse'!C29</f>
        <v>5000</v>
      </c>
      <c r="E9">
        <f>+D9*12</f>
        <v>60000</v>
      </c>
    </row>
    <row r="10" spans="2:6">
      <c r="B10" s="69" t="s">
        <v>815</v>
      </c>
      <c r="C10">
        <f>+'14. Facility 3 Warehouse'!B30</f>
        <v>0</v>
      </c>
      <c r="D10">
        <f>+'14. Facility 3 Warehouse'!C30</f>
        <v>2.5000000000000001E-3</v>
      </c>
      <c r="E10">
        <f>+C10*D10*12</f>
        <v>0</v>
      </c>
      <c r="F10">
        <f>SUM(E7:E10)</f>
        <v>396000</v>
      </c>
    </row>
    <row r="13" spans="2:6">
      <c r="B13" s="71" t="s">
        <v>312</v>
      </c>
    </row>
    <row r="14" spans="2:6">
      <c r="B14" s="69" t="s">
        <v>327</v>
      </c>
      <c r="C14">
        <f>+'14. Facility 3 Warehouse'!B37</f>
        <v>1</v>
      </c>
      <c r="D14">
        <f>+'14. Facility 3 Warehouse'!C37</f>
        <v>10000</v>
      </c>
      <c r="E14">
        <f>+D14*12</f>
        <v>120000</v>
      </c>
      <c r="F14">
        <f>+E14</f>
        <v>120000</v>
      </c>
    </row>
    <row r="15" spans="2:6">
      <c r="F15">
        <f>+F4-F10-F14</f>
        <v>1284000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6"/>
  <sheetViews>
    <sheetView view="pageBreakPreview" topLeftCell="A46" zoomScale="80" zoomScaleSheetLayoutView="80" workbookViewId="0">
      <selection activeCell="B67" sqref="B67"/>
    </sheetView>
  </sheetViews>
  <sheetFormatPr defaultRowHeight="15"/>
  <cols>
    <col min="1" max="1" width="30.42578125" bestFit="1" customWidth="1"/>
    <col min="2" max="2" width="11.42578125" customWidth="1"/>
    <col min="3" max="3" width="11.140625" customWidth="1"/>
    <col min="4" max="10" width="11.5703125" bestFit="1" customWidth="1"/>
  </cols>
  <sheetData>
    <row r="2" spans="1:16" ht="18.75">
      <c r="A2" s="724" t="s">
        <v>2000</v>
      </c>
      <c r="B2" s="724"/>
      <c r="C2" s="724"/>
      <c r="D2" s="724"/>
      <c r="E2" s="724"/>
      <c r="F2" s="724"/>
      <c r="G2" s="724"/>
      <c r="H2" s="724"/>
    </row>
    <row r="3" spans="1:16" ht="18.75">
      <c r="A3" s="724" t="s">
        <v>2001</v>
      </c>
      <c r="B3" s="724"/>
      <c r="C3" s="724"/>
      <c r="D3" s="724"/>
      <c r="E3" s="724"/>
      <c r="F3" s="724"/>
      <c r="G3" s="724"/>
      <c r="H3" s="724"/>
    </row>
    <row r="4" spans="1:16">
      <c r="A4" s="68" t="s">
        <v>162</v>
      </c>
      <c r="B4" s="194">
        <v>1000</v>
      </c>
      <c r="C4" s="151" t="s">
        <v>301</v>
      </c>
      <c r="D4" s="151"/>
      <c r="E4" s="151"/>
      <c r="F4" s="151"/>
      <c r="G4" s="68"/>
      <c r="H4" s="68"/>
    </row>
    <row r="5" spans="1:16">
      <c r="A5" s="68"/>
      <c r="B5" s="152"/>
      <c r="C5" s="68"/>
      <c r="D5" s="68"/>
      <c r="E5" s="68"/>
      <c r="F5" s="68"/>
      <c r="G5" s="68"/>
      <c r="H5" s="68"/>
    </row>
    <row r="6" spans="1:16">
      <c r="A6" s="68" t="s">
        <v>303</v>
      </c>
      <c r="B6" s="153">
        <v>12</v>
      </c>
      <c r="C6" s="68"/>
      <c r="D6" s="153"/>
      <c r="E6" s="153"/>
      <c r="F6" s="68"/>
      <c r="G6" s="68"/>
      <c r="H6" s="68"/>
      <c r="P6">
        <f>60*100</f>
        <v>6000</v>
      </c>
    </row>
    <row r="7" spans="1:16">
      <c r="A7" s="68"/>
      <c r="B7" s="68"/>
      <c r="C7" s="153"/>
      <c r="D7" s="153"/>
      <c r="E7" s="153"/>
      <c r="F7" s="68"/>
      <c r="G7" s="68"/>
      <c r="H7" s="68"/>
    </row>
    <row r="8" spans="1:16">
      <c r="A8" s="119" t="s">
        <v>127</v>
      </c>
      <c r="B8" s="91" t="s">
        <v>2</v>
      </c>
      <c r="C8" s="91" t="s">
        <v>3</v>
      </c>
      <c r="D8" s="91" t="s">
        <v>4</v>
      </c>
      <c r="E8" s="91" t="s">
        <v>5</v>
      </c>
      <c r="F8" s="91" t="s">
        <v>6</v>
      </c>
      <c r="G8" s="91" t="s">
        <v>170</v>
      </c>
      <c r="H8" s="91" t="s">
        <v>169</v>
      </c>
    </row>
    <row r="9" spans="1:16">
      <c r="A9" s="69" t="s">
        <v>304</v>
      </c>
      <c r="B9" s="204">
        <v>0.8</v>
      </c>
      <c r="C9" s="204">
        <f>B9+5%</f>
        <v>0.85000000000000009</v>
      </c>
      <c r="D9" s="204">
        <f>C9+5%</f>
        <v>0.90000000000000013</v>
      </c>
      <c r="E9" s="204">
        <f>D9+5%</f>
        <v>0.95000000000000018</v>
      </c>
      <c r="F9" s="204">
        <f>E9+5%</f>
        <v>1.0000000000000002</v>
      </c>
      <c r="G9" s="204">
        <f>F9</f>
        <v>1.0000000000000002</v>
      </c>
      <c r="H9" s="204">
        <f>G9</f>
        <v>1.0000000000000002</v>
      </c>
    </row>
    <row r="10" spans="1:16">
      <c r="A10" s="71" t="s">
        <v>326</v>
      </c>
      <c r="B10" s="378">
        <f>$B$4*B9*$B$6</f>
        <v>9600</v>
      </c>
      <c r="C10" s="378">
        <f t="shared" ref="C10:H10" si="0">$B$4*C9*$B$6</f>
        <v>10200.000000000002</v>
      </c>
      <c r="D10" s="378">
        <f t="shared" si="0"/>
        <v>10800.000000000002</v>
      </c>
      <c r="E10" s="378">
        <f t="shared" si="0"/>
        <v>11400.000000000004</v>
      </c>
      <c r="F10" s="378">
        <f t="shared" si="0"/>
        <v>12000.000000000004</v>
      </c>
      <c r="G10" s="378">
        <f t="shared" si="0"/>
        <v>12000.000000000004</v>
      </c>
      <c r="H10" s="378">
        <f t="shared" si="0"/>
        <v>12000.000000000004</v>
      </c>
    </row>
    <row r="12" spans="1:16">
      <c r="O12">
        <f>5000/25</f>
        <v>200</v>
      </c>
      <c r="P12">
        <f>+O12*5</f>
        <v>1000</v>
      </c>
    </row>
    <row r="15" spans="1:16" ht="18.75">
      <c r="A15" s="724" t="s">
        <v>2002</v>
      </c>
      <c r="B15" s="724"/>
      <c r="C15" s="724"/>
      <c r="D15" s="724"/>
      <c r="E15" s="724"/>
      <c r="F15" s="724"/>
      <c r="G15" s="724"/>
      <c r="H15" s="724"/>
      <c r="I15" s="724"/>
      <c r="J15" s="724"/>
    </row>
    <row r="16" spans="1:16">
      <c r="A16" s="11"/>
      <c r="B16" s="11"/>
      <c r="C16" s="11"/>
      <c r="D16" s="11"/>
      <c r="E16" s="11"/>
      <c r="F16" s="11"/>
      <c r="G16" s="11"/>
      <c r="H16" s="11"/>
    </row>
    <row r="17" spans="1:15">
      <c r="A17" s="68"/>
      <c r="B17" s="68"/>
      <c r="C17" s="68"/>
      <c r="D17" s="148">
        <v>1</v>
      </c>
      <c r="E17" s="146">
        <f t="shared" ref="E17:J17" si="1">(D17*5%)+D17</f>
        <v>1.05</v>
      </c>
      <c r="F17" s="146">
        <f t="shared" si="1"/>
        <v>1.1025</v>
      </c>
      <c r="G17" s="146">
        <f t="shared" si="1"/>
        <v>1.1576250000000001</v>
      </c>
      <c r="H17" s="146">
        <f t="shared" si="1"/>
        <v>1.2155062500000002</v>
      </c>
      <c r="I17" s="146">
        <f t="shared" si="1"/>
        <v>1.2762815625000004</v>
      </c>
      <c r="J17" s="146">
        <f t="shared" si="1"/>
        <v>1.3400956406250004</v>
      </c>
    </row>
    <row r="18" spans="1:15">
      <c r="A18" s="119" t="s">
        <v>0</v>
      </c>
      <c r="B18" s="119" t="s">
        <v>132</v>
      </c>
      <c r="C18" s="119" t="s">
        <v>153</v>
      </c>
      <c r="D18" s="91" t="s">
        <v>2</v>
      </c>
      <c r="E18" s="91" t="s">
        <v>3</v>
      </c>
      <c r="F18" s="91" t="s">
        <v>4</v>
      </c>
      <c r="G18" s="91" t="s">
        <v>5</v>
      </c>
      <c r="H18" s="91" t="s">
        <v>6</v>
      </c>
      <c r="I18" s="91" t="s">
        <v>170</v>
      </c>
      <c r="J18" s="91" t="s">
        <v>169</v>
      </c>
    </row>
    <row r="19" spans="1:15">
      <c r="A19" s="69"/>
      <c r="B19" s="69"/>
      <c r="C19" s="69"/>
      <c r="D19" s="69"/>
      <c r="E19" s="69"/>
      <c r="F19" s="69"/>
      <c r="G19" s="69"/>
      <c r="H19" s="69"/>
      <c r="I19" s="69"/>
      <c r="J19" s="69"/>
    </row>
    <row r="20" spans="1:15">
      <c r="A20" s="71" t="s">
        <v>473</v>
      </c>
      <c r="B20" s="71"/>
      <c r="C20" s="71"/>
      <c r="D20" s="69"/>
      <c r="E20" s="69"/>
      <c r="F20" s="69"/>
      <c r="G20" s="69"/>
      <c r="H20" s="69"/>
      <c r="I20" s="69"/>
      <c r="J20" s="69"/>
    </row>
    <row r="21" spans="1:15">
      <c r="A21" s="69" t="s">
        <v>328</v>
      </c>
      <c r="B21" s="69"/>
      <c r="C21" s="159">
        <v>120</v>
      </c>
      <c r="D21" s="159">
        <f>B10*$C$21*D17</f>
        <v>1152000</v>
      </c>
      <c r="E21" s="70">
        <f t="shared" ref="E21:J21" si="2">C10*$C$21*E17</f>
        <v>1285200.0000000002</v>
      </c>
      <c r="F21" s="70">
        <f t="shared" si="2"/>
        <v>1428840.0000000002</v>
      </c>
      <c r="G21" s="70">
        <f t="shared" si="2"/>
        <v>1583631.0000000007</v>
      </c>
      <c r="H21" s="70">
        <f t="shared" si="2"/>
        <v>1750329.0000000009</v>
      </c>
      <c r="I21" s="70">
        <f t="shared" si="2"/>
        <v>1837845.4500000011</v>
      </c>
      <c r="J21" s="70">
        <f t="shared" si="2"/>
        <v>1929737.7225000013</v>
      </c>
    </row>
    <row r="22" spans="1:15">
      <c r="A22" s="69"/>
      <c r="B22" s="69"/>
      <c r="C22" s="159"/>
      <c r="D22" s="159"/>
      <c r="E22" s="70"/>
      <c r="F22" s="70"/>
      <c r="G22" s="70"/>
      <c r="H22" s="70"/>
      <c r="I22" s="70"/>
      <c r="J22" s="70"/>
    </row>
    <row r="23" spans="1:15">
      <c r="A23" s="71" t="s">
        <v>143</v>
      </c>
      <c r="B23" s="71"/>
      <c r="C23" s="580"/>
      <c r="D23" s="159">
        <f t="shared" ref="D23:J23" si="3">SUM(D21:D21)</f>
        <v>1152000</v>
      </c>
      <c r="E23" s="70">
        <f t="shared" si="3"/>
        <v>1285200.0000000002</v>
      </c>
      <c r="F23" s="70">
        <f t="shared" si="3"/>
        <v>1428840.0000000002</v>
      </c>
      <c r="G23" s="70">
        <f t="shared" si="3"/>
        <v>1583631.0000000007</v>
      </c>
      <c r="H23" s="70">
        <f t="shared" si="3"/>
        <v>1750329.0000000009</v>
      </c>
      <c r="I23" s="70">
        <f t="shared" si="3"/>
        <v>1837845.4500000011</v>
      </c>
      <c r="J23" s="70">
        <f t="shared" si="3"/>
        <v>1929737.7225000013</v>
      </c>
    </row>
    <row r="24" spans="1:15">
      <c r="A24" s="69"/>
      <c r="B24" s="69"/>
      <c r="C24" s="159"/>
      <c r="D24" s="159"/>
      <c r="E24" s="70"/>
      <c r="F24" s="70"/>
      <c r="G24" s="70"/>
      <c r="H24" s="70"/>
      <c r="I24" s="70"/>
      <c r="J24" s="70"/>
    </row>
    <row r="25" spans="1:15">
      <c r="A25" s="71" t="s">
        <v>142</v>
      </c>
      <c r="B25" s="71"/>
      <c r="C25" s="159"/>
      <c r="D25" s="159"/>
      <c r="E25" s="70"/>
      <c r="F25" s="70"/>
      <c r="G25" s="70"/>
      <c r="H25" s="70"/>
      <c r="I25" s="70"/>
      <c r="J25" s="70"/>
    </row>
    <row r="26" spans="1:15">
      <c r="A26" s="71" t="s">
        <v>314</v>
      </c>
      <c r="B26" s="71"/>
      <c r="C26" s="159"/>
      <c r="D26" s="159"/>
      <c r="E26" s="70"/>
      <c r="F26" s="70"/>
      <c r="G26" s="70"/>
      <c r="H26" s="70"/>
      <c r="I26" s="70"/>
      <c r="J26" s="70"/>
    </row>
    <row r="27" spans="1:15">
      <c r="A27" s="69" t="s">
        <v>305</v>
      </c>
      <c r="B27" s="69" t="s">
        <v>301</v>
      </c>
      <c r="C27" s="159">
        <v>14</v>
      </c>
      <c r="D27" s="159">
        <f>$B$4*$C$27*D17*4</f>
        <v>56000</v>
      </c>
      <c r="E27" s="70">
        <f t="shared" ref="E27:J27" si="4">$B$4*$C$27*E17*4</f>
        <v>58800</v>
      </c>
      <c r="F27" s="70">
        <f t="shared" si="4"/>
        <v>61740</v>
      </c>
      <c r="G27" s="70">
        <f t="shared" si="4"/>
        <v>64827.000000000007</v>
      </c>
      <c r="H27" s="70">
        <f t="shared" si="4"/>
        <v>68068.350000000006</v>
      </c>
      <c r="I27" s="70">
        <f t="shared" si="4"/>
        <v>71471.767500000016</v>
      </c>
      <c r="J27" s="70">
        <f t="shared" si="4"/>
        <v>75045.355875000023</v>
      </c>
      <c r="M27">
        <f>5000/30</f>
        <v>166.66666666666666</v>
      </c>
    </row>
    <row r="28" spans="1:15">
      <c r="A28" s="69" t="s">
        <v>306</v>
      </c>
      <c r="B28" s="69" t="s">
        <v>301</v>
      </c>
      <c r="C28" s="159">
        <v>14</v>
      </c>
      <c r="D28" s="159">
        <f>$B$4*$C$28*D17*12</f>
        <v>168000</v>
      </c>
      <c r="E28" s="70">
        <f t="shared" ref="E28:J28" si="5">$B$4*$C$28*E17*12</f>
        <v>176400</v>
      </c>
      <c r="F28" s="70">
        <f t="shared" si="5"/>
        <v>185220</v>
      </c>
      <c r="G28" s="70">
        <f t="shared" si="5"/>
        <v>194481.00000000003</v>
      </c>
      <c r="H28" s="70">
        <f t="shared" si="5"/>
        <v>204205.05000000002</v>
      </c>
      <c r="I28" s="70">
        <f t="shared" si="5"/>
        <v>214415.30250000005</v>
      </c>
      <c r="J28" s="70">
        <f t="shared" si="5"/>
        <v>225136.06762500008</v>
      </c>
      <c r="M28">
        <f>+M27/9</f>
        <v>18.518518518518519</v>
      </c>
      <c r="N28">
        <f>+M28/8</f>
        <v>2.3148148148148149</v>
      </c>
    </row>
    <row r="29" spans="1:15">
      <c r="A29" s="69" t="s">
        <v>307</v>
      </c>
      <c r="B29" s="69"/>
      <c r="C29" s="159">
        <v>5000</v>
      </c>
      <c r="D29" s="159">
        <f>$C$29*12*D17</f>
        <v>60000</v>
      </c>
      <c r="E29" s="70">
        <f t="shared" ref="E29:J29" si="6">$C$29*12*E17</f>
        <v>63000</v>
      </c>
      <c r="F29" s="70">
        <f t="shared" si="6"/>
        <v>66150</v>
      </c>
      <c r="G29" s="70">
        <f t="shared" si="6"/>
        <v>69457.500000000015</v>
      </c>
      <c r="H29" s="70">
        <f t="shared" si="6"/>
        <v>72930.375000000015</v>
      </c>
      <c r="I29" s="70">
        <f t="shared" si="6"/>
        <v>76576.893750000017</v>
      </c>
      <c r="J29" s="70">
        <f t="shared" si="6"/>
        <v>80405.738437500026</v>
      </c>
      <c r="L29" s="555">
        <f>5*9</f>
        <v>45</v>
      </c>
      <c r="M29">
        <f>+L29*30</f>
        <v>1350</v>
      </c>
    </row>
    <row r="30" spans="1:15">
      <c r="A30" s="69" t="s">
        <v>816</v>
      </c>
      <c r="B30" s="69"/>
      <c r="C30" s="159">
        <v>2.5000000000000001E-3</v>
      </c>
      <c r="D30" s="159">
        <f>$B$4*50000*$C$30*D17</f>
        <v>125000</v>
      </c>
      <c r="E30" s="159">
        <f t="shared" ref="E30:J30" si="7">$B$4*50000*$C$30*E17</f>
        <v>131250</v>
      </c>
      <c r="F30" s="159">
        <f t="shared" si="7"/>
        <v>137812.5</v>
      </c>
      <c r="G30" s="159">
        <f t="shared" si="7"/>
        <v>144703.12500000003</v>
      </c>
      <c r="H30" s="159">
        <f t="shared" si="7"/>
        <v>151938.28125000003</v>
      </c>
      <c r="I30" s="159">
        <f t="shared" si="7"/>
        <v>159535.19531250006</v>
      </c>
      <c r="J30" s="159">
        <f t="shared" si="7"/>
        <v>167511.95507812506</v>
      </c>
    </row>
    <row r="31" spans="1:15">
      <c r="A31" s="69"/>
      <c r="B31" s="69"/>
      <c r="C31" s="159"/>
      <c r="D31" s="159"/>
      <c r="E31" s="70"/>
      <c r="F31" s="70"/>
      <c r="G31" s="70"/>
      <c r="H31" s="70"/>
      <c r="I31" s="70"/>
      <c r="J31" s="70"/>
    </row>
    <row r="32" spans="1:15">
      <c r="A32" s="69"/>
      <c r="B32" s="69"/>
      <c r="C32" s="159"/>
      <c r="D32" s="159"/>
      <c r="E32" s="70"/>
      <c r="F32" s="70"/>
      <c r="G32" s="70"/>
      <c r="H32" s="70"/>
      <c r="I32" s="70"/>
      <c r="J32" s="70"/>
      <c r="M32">
        <v>40</v>
      </c>
      <c r="O32">
        <v>220000</v>
      </c>
    </row>
    <row r="33" spans="1:16">
      <c r="A33" s="69"/>
      <c r="B33" s="69"/>
      <c r="C33" s="159"/>
      <c r="D33" s="159"/>
      <c r="E33" s="70"/>
      <c r="F33" s="70"/>
      <c r="G33" s="70"/>
      <c r="H33" s="70"/>
      <c r="I33" s="70"/>
      <c r="J33" s="70"/>
      <c r="M33">
        <f>+M32*0.74</f>
        <v>29.6</v>
      </c>
      <c r="O33">
        <v>23976</v>
      </c>
    </row>
    <row r="34" spans="1:16">
      <c r="A34" s="71" t="s">
        <v>325</v>
      </c>
      <c r="B34" s="71"/>
      <c r="C34" s="580"/>
      <c r="D34" s="580">
        <f>SUM(D27:D33)</f>
        <v>409000</v>
      </c>
      <c r="E34" s="87">
        <f t="shared" ref="E34:J34" si="8">SUM(E27:E33)</f>
        <v>429450</v>
      </c>
      <c r="F34" s="87">
        <f t="shared" si="8"/>
        <v>450922.5</v>
      </c>
      <c r="G34" s="87">
        <f t="shared" si="8"/>
        <v>473468.62500000012</v>
      </c>
      <c r="H34" s="87">
        <f t="shared" si="8"/>
        <v>497142.05625000002</v>
      </c>
      <c r="I34" s="87">
        <f t="shared" si="8"/>
        <v>521999.15906250017</v>
      </c>
      <c r="J34" s="87">
        <f t="shared" si="8"/>
        <v>548099.11701562512</v>
      </c>
      <c r="M34">
        <f>+M33*10</f>
        <v>296</v>
      </c>
      <c r="O34">
        <v>60000</v>
      </c>
    </row>
    <row r="35" spans="1:16">
      <c r="A35" s="71"/>
      <c r="B35" s="71"/>
      <c r="C35" s="580"/>
      <c r="D35" s="580"/>
      <c r="E35" s="87"/>
      <c r="F35" s="87"/>
      <c r="G35" s="87"/>
      <c r="H35" s="87"/>
      <c r="I35" s="87"/>
      <c r="J35" s="87"/>
      <c r="M35">
        <f>+M34*30</f>
        <v>8880</v>
      </c>
      <c r="O35">
        <f>+O32-O33-O34</f>
        <v>136024</v>
      </c>
    </row>
    <row r="36" spans="1:16">
      <c r="A36" s="71" t="s">
        <v>312</v>
      </c>
      <c r="B36" s="69"/>
      <c r="C36" s="159"/>
      <c r="D36" s="159"/>
      <c r="E36" s="70"/>
      <c r="F36" s="70"/>
      <c r="G36" s="70"/>
      <c r="H36" s="70"/>
      <c r="I36" s="70"/>
      <c r="J36" s="70"/>
      <c r="M36">
        <f>+M35*9</f>
        <v>79920</v>
      </c>
      <c r="O36">
        <v>15000</v>
      </c>
    </row>
    <row r="37" spans="1:16">
      <c r="A37" s="69" t="s">
        <v>327</v>
      </c>
      <c r="B37" s="69">
        <v>1</v>
      </c>
      <c r="C37" s="159">
        <v>10000</v>
      </c>
      <c r="D37" s="159">
        <f>$B$37*$C$37*D17*12</f>
        <v>120000</v>
      </c>
      <c r="E37" s="70">
        <f t="shared" ref="E37:J37" si="9">$B$37*$C$37*E17*12</f>
        <v>126000</v>
      </c>
      <c r="F37" s="70">
        <f t="shared" si="9"/>
        <v>132300</v>
      </c>
      <c r="G37" s="70">
        <f t="shared" si="9"/>
        <v>138915.00000000003</v>
      </c>
      <c r="H37" s="70">
        <f t="shared" si="9"/>
        <v>145860.75000000003</v>
      </c>
      <c r="I37" s="70">
        <f t="shared" si="9"/>
        <v>153153.78750000003</v>
      </c>
      <c r="J37" s="70">
        <f t="shared" si="9"/>
        <v>160811.47687500005</v>
      </c>
      <c r="M37">
        <f>+M36*30%</f>
        <v>23976</v>
      </c>
      <c r="O37">
        <f>+O35-O36</f>
        <v>121024</v>
      </c>
    </row>
    <row r="38" spans="1:16">
      <c r="A38" s="69"/>
      <c r="B38" s="69"/>
      <c r="C38" s="159"/>
      <c r="D38" s="159"/>
      <c r="E38" s="70"/>
      <c r="F38" s="70"/>
      <c r="G38" s="70"/>
      <c r="H38" s="70"/>
      <c r="I38" s="70"/>
      <c r="J38" s="70"/>
      <c r="M38">
        <f>+M36-M37</f>
        <v>55944</v>
      </c>
    </row>
    <row r="39" spans="1:16">
      <c r="A39" s="69"/>
      <c r="B39" s="69"/>
      <c r="C39" s="159"/>
      <c r="D39" s="159"/>
      <c r="E39" s="70"/>
      <c r="F39" s="70"/>
      <c r="G39" s="70"/>
      <c r="H39" s="70"/>
      <c r="I39" s="70"/>
      <c r="J39" s="70"/>
      <c r="O39">
        <v>3000000</v>
      </c>
    </row>
    <row r="40" spans="1:16">
      <c r="A40" s="69"/>
      <c r="B40" s="69"/>
      <c r="C40" s="159"/>
      <c r="D40" s="159"/>
      <c r="E40" s="70"/>
      <c r="F40" s="70"/>
      <c r="G40" s="70"/>
      <c r="H40" s="70"/>
      <c r="I40" s="70"/>
      <c r="J40" s="70"/>
    </row>
    <row r="41" spans="1:16">
      <c r="A41" s="69"/>
      <c r="B41" s="69"/>
      <c r="C41" s="159"/>
      <c r="D41" s="159"/>
      <c r="E41" s="70"/>
      <c r="F41" s="70"/>
      <c r="G41" s="70"/>
      <c r="H41" s="70"/>
      <c r="I41" s="70"/>
      <c r="J41" s="70"/>
    </row>
    <row r="42" spans="1:16">
      <c r="A42" s="69"/>
      <c r="B42" s="69"/>
      <c r="C42" s="159"/>
      <c r="D42" s="159"/>
      <c r="E42" s="70"/>
      <c r="F42" s="70"/>
      <c r="G42" s="70"/>
      <c r="H42" s="70"/>
      <c r="I42" s="70"/>
      <c r="J42" s="70"/>
      <c r="N42">
        <v>9000</v>
      </c>
      <c r="O42">
        <f>+N42/120</f>
        <v>75</v>
      </c>
      <c r="P42">
        <f>+N42*9</f>
        <v>81000</v>
      </c>
    </row>
    <row r="43" spans="1:16">
      <c r="A43" s="71" t="s">
        <v>329</v>
      </c>
      <c r="B43" s="71"/>
      <c r="C43" s="580"/>
      <c r="D43" s="580">
        <f>SUM(D37:D42)</f>
        <v>120000</v>
      </c>
      <c r="E43" s="87">
        <f t="shared" ref="E43:J43" si="10">SUM(E37:E42)</f>
        <v>126000</v>
      </c>
      <c r="F43" s="87">
        <f t="shared" si="10"/>
        <v>132300</v>
      </c>
      <c r="G43" s="87">
        <f t="shared" si="10"/>
        <v>138915.00000000003</v>
      </c>
      <c r="H43" s="87">
        <f t="shared" si="10"/>
        <v>145860.75000000003</v>
      </c>
      <c r="I43" s="87">
        <f t="shared" si="10"/>
        <v>153153.78750000003</v>
      </c>
      <c r="J43" s="87">
        <f t="shared" si="10"/>
        <v>160811.47687500005</v>
      </c>
      <c r="O43">
        <f>+O42*38000</f>
        <v>2850000</v>
      </c>
      <c r="P43">
        <f>+P42-M37</f>
        <v>57024</v>
      </c>
    </row>
    <row r="44" spans="1:16">
      <c r="A44" s="71"/>
      <c r="B44" s="71"/>
      <c r="C44" s="580"/>
      <c r="D44" s="580"/>
      <c r="E44" s="87"/>
      <c r="F44" s="87"/>
      <c r="G44" s="87"/>
      <c r="H44" s="87"/>
      <c r="I44" s="87"/>
      <c r="J44" s="87"/>
    </row>
    <row r="45" spans="1:16">
      <c r="A45" s="71" t="s">
        <v>129</v>
      </c>
      <c r="B45" s="71"/>
      <c r="C45" s="580"/>
      <c r="D45" s="580">
        <f>D34+D43</f>
        <v>529000</v>
      </c>
      <c r="E45" s="87">
        <f t="shared" ref="E45:J45" si="11">E34+E43</f>
        <v>555450</v>
      </c>
      <c r="F45" s="87">
        <f t="shared" si="11"/>
        <v>583222.5</v>
      </c>
      <c r="G45" s="87">
        <f t="shared" si="11"/>
        <v>612383.62500000012</v>
      </c>
      <c r="H45" s="87">
        <f t="shared" si="11"/>
        <v>643002.80625000002</v>
      </c>
      <c r="I45" s="87">
        <f t="shared" si="11"/>
        <v>675152.9465625002</v>
      </c>
      <c r="J45" s="87">
        <f t="shared" si="11"/>
        <v>708910.59389062517</v>
      </c>
    </row>
    <row r="46" spans="1:16">
      <c r="A46" s="69"/>
      <c r="B46" s="69"/>
      <c r="C46" s="159"/>
      <c r="D46" s="159"/>
      <c r="E46" s="70"/>
      <c r="F46" s="70"/>
      <c r="G46" s="70"/>
      <c r="H46" s="70"/>
      <c r="I46" s="70"/>
      <c r="J46" s="70"/>
    </row>
    <row r="47" spans="1:16">
      <c r="A47" s="71" t="s">
        <v>128</v>
      </c>
      <c r="B47" s="71"/>
      <c r="C47" s="580"/>
      <c r="D47" s="580">
        <f t="shared" ref="D47:J47" si="12">D23-D45</f>
        <v>623000</v>
      </c>
      <c r="E47" s="87">
        <f t="shared" si="12"/>
        <v>729750.00000000023</v>
      </c>
      <c r="F47" s="87">
        <f t="shared" si="12"/>
        <v>845617.50000000023</v>
      </c>
      <c r="G47" s="87">
        <f t="shared" si="12"/>
        <v>971247.37500000058</v>
      </c>
      <c r="H47" s="87">
        <f t="shared" si="12"/>
        <v>1107326.193750001</v>
      </c>
      <c r="I47" s="87">
        <f t="shared" si="12"/>
        <v>1162692.5034375009</v>
      </c>
      <c r="J47" s="87">
        <f t="shared" si="12"/>
        <v>1220827.128609376</v>
      </c>
    </row>
    <row r="48" spans="1:16">
      <c r="A48" s="68"/>
      <c r="B48" s="68"/>
      <c r="C48" s="68"/>
      <c r="D48" s="68"/>
      <c r="E48" s="68"/>
      <c r="F48" s="68"/>
      <c r="G48" s="68"/>
      <c r="H48" s="68"/>
      <c r="I48" s="68"/>
      <c r="J48" s="68"/>
    </row>
    <row r="49" spans="1:10">
      <c r="A49" s="68"/>
    </row>
    <row r="51" spans="1:10">
      <c r="A51" s="1073" t="s">
        <v>425</v>
      </c>
      <c r="B51" s="1073"/>
      <c r="C51" s="1073"/>
      <c r="D51" s="1073"/>
      <c r="E51" s="1073"/>
      <c r="F51" s="1073"/>
      <c r="G51" s="1073"/>
      <c r="H51" s="1073"/>
      <c r="I51" s="1073"/>
      <c r="J51" s="1073"/>
    </row>
    <row r="53" spans="1:10">
      <c r="A53" t="s">
        <v>531</v>
      </c>
    </row>
    <row r="54" spans="1:10">
      <c r="A54">
        <v>1</v>
      </c>
      <c r="B54" t="s">
        <v>544</v>
      </c>
    </row>
    <row r="55" spans="1:10">
      <c r="A55">
        <v>2</v>
      </c>
      <c r="B55" t="s">
        <v>545</v>
      </c>
    </row>
    <row r="56" spans="1:10">
      <c r="A56">
        <v>3</v>
      </c>
      <c r="B56" s="68" t="s">
        <v>572</v>
      </c>
    </row>
  </sheetData>
  <mergeCells count="4">
    <mergeCell ref="A15:J15"/>
    <mergeCell ref="A2:H2"/>
    <mergeCell ref="A51:J51"/>
    <mergeCell ref="A3:H3"/>
  </mergeCells>
  <pageMargins left="0.7" right="0.7" top="0.75" bottom="0.75" header="0.3" footer="0.3"/>
  <pageSetup paperSize="9" scale="65" orientation="portrait" r:id="rId1"/>
  <colBreaks count="1" manualBreakCount="1">
    <brk id="10" max="5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68"/>
  <sheetViews>
    <sheetView view="pageBreakPreview" topLeftCell="A47" zoomScale="85" zoomScaleSheetLayoutView="85" workbookViewId="0">
      <selection activeCell="F68" sqref="F68"/>
    </sheetView>
  </sheetViews>
  <sheetFormatPr defaultRowHeight="15"/>
  <cols>
    <col min="1" max="1" width="9.140625" customWidth="1"/>
    <col min="2" max="2" width="25" customWidth="1"/>
    <col min="3" max="3" width="9.85546875" customWidth="1"/>
    <col min="4" max="4" width="10.42578125" bestFit="1" customWidth="1"/>
    <col min="5" max="5" width="13.42578125" customWidth="1"/>
    <col min="6" max="6" width="14" customWidth="1"/>
    <col min="7" max="7" width="13.42578125" customWidth="1"/>
    <col min="8" max="9" width="14" customWidth="1"/>
    <col min="10" max="11" width="14.42578125" customWidth="1"/>
    <col min="12" max="12" width="12.140625" customWidth="1"/>
    <col min="13" max="13" width="16" customWidth="1"/>
    <col min="14" max="14" width="23.28515625" customWidth="1"/>
    <col min="18" max="18" width="12.7109375" bestFit="1" customWidth="1"/>
  </cols>
  <sheetData>
    <row r="3" spans="1:15" ht="18.75">
      <c r="A3" s="724" t="s">
        <v>2003</v>
      </c>
      <c r="B3" s="724"/>
      <c r="C3" s="724"/>
      <c r="D3" s="724"/>
      <c r="E3" s="724"/>
      <c r="F3" s="724"/>
      <c r="G3" s="724"/>
      <c r="H3" s="724"/>
      <c r="I3" s="724"/>
      <c r="J3" s="724"/>
      <c r="K3" s="724"/>
      <c r="L3" s="724"/>
    </row>
    <row r="4" spans="1:15" ht="18.75">
      <c r="A4" s="724" t="s">
        <v>2004</v>
      </c>
      <c r="B4" s="724"/>
      <c r="C4" s="724"/>
      <c r="D4" s="724"/>
      <c r="E4" s="724"/>
      <c r="F4" s="724"/>
      <c r="G4" s="724"/>
      <c r="H4" s="724"/>
      <c r="I4" s="724"/>
      <c r="J4" s="724"/>
      <c r="K4" s="724"/>
      <c r="L4" s="724"/>
    </row>
    <row r="5" spans="1:15">
      <c r="A5" s="68"/>
      <c r="B5" s="68"/>
      <c r="C5" s="68"/>
    </row>
    <row r="6" spans="1:15">
      <c r="A6" s="68"/>
      <c r="B6" s="68"/>
      <c r="C6" s="68"/>
    </row>
    <row r="7" spans="1:15" ht="45">
      <c r="A7" s="211" t="s">
        <v>145</v>
      </c>
      <c r="B7" s="212" t="s">
        <v>433</v>
      </c>
      <c r="C7" s="212" t="s">
        <v>436</v>
      </c>
      <c r="D7" s="212" t="s">
        <v>434</v>
      </c>
      <c r="E7" s="212" t="s">
        <v>435</v>
      </c>
      <c r="F7" s="212" t="s">
        <v>308</v>
      </c>
      <c r="G7" s="212" t="s">
        <v>437</v>
      </c>
      <c r="H7" s="212" t="s">
        <v>438</v>
      </c>
      <c r="I7" s="212" t="s">
        <v>439</v>
      </c>
      <c r="J7" s="214" t="s">
        <v>442</v>
      </c>
      <c r="K7" s="212" t="s">
        <v>440</v>
      </c>
      <c r="L7" s="214" t="s">
        <v>441</v>
      </c>
      <c r="M7" s="212" t="s">
        <v>444</v>
      </c>
    </row>
    <row r="8" spans="1:15">
      <c r="A8" s="213">
        <v>1</v>
      </c>
      <c r="B8" s="9" t="e">
        <f>'2.Capex Details'!#REF!</f>
        <v>#REF!</v>
      </c>
      <c r="C8" s="9">
        <v>1</v>
      </c>
      <c r="D8" s="9"/>
      <c r="E8" s="9">
        <v>8</v>
      </c>
      <c r="F8" s="9">
        <f>D8*E8*C8</f>
        <v>0</v>
      </c>
      <c r="G8" s="9">
        <v>2</v>
      </c>
      <c r="H8" s="9">
        <f t="shared" ref="H8:H13" si="0">F8/G8</f>
        <v>0</v>
      </c>
      <c r="I8" s="9">
        <v>8</v>
      </c>
      <c r="J8" s="9">
        <f>H8*I8</f>
        <v>0</v>
      </c>
      <c r="K8" s="9">
        <v>3000</v>
      </c>
      <c r="L8" s="9">
        <v>1</v>
      </c>
      <c r="M8" s="9">
        <f t="shared" ref="M8:M17" si="1">D8*L8</f>
        <v>0</v>
      </c>
      <c r="N8">
        <f>+H8*K8</f>
        <v>0</v>
      </c>
    </row>
    <row r="9" spans="1:15">
      <c r="A9" s="213">
        <v>2</v>
      </c>
      <c r="B9" s="9" t="e">
        <f>'2.Capex Details'!#REF!</f>
        <v>#REF!</v>
      </c>
      <c r="C9" s="9">
        <v>1</v>
      </c>
      <c r="D9" s="9"/>
      <c r="E9" s="9">
        <v>8</v>
      </c>
      <c r="F9" s="9">
        <f t="shared" ref="F9:F17" si="2">D9*E9*C9</f>
        <v>0</v>
      </c>
      <c r="G9" s="9">
        <v>2</v>
      </c>
      <c r="H9" s="9">
        <f t="shared" si="0"/>
        <v>0</v>
      </c>
      <c r="I9" s="9">
        <v>7</v>
      </c>
      <c r="J9" s="9">
        <f t="shared" ref="J9:J17" si="3">H9*I9</f>
        <v>0</v>
      </c>
      <c r="K9" s="9">
        <v>1500</v>
      </c>
      <c r="L9" s="9">
        <v>1</v>
      </c>
      <c r="M9" s="9">
        <f t="shared" si="1"/>
        <v>0</v>
      </c>
    </row>
    <row r="10" spans="1:15">
      <c r="A10" s="213">
        <v>3</v>
      </c>
      <c r="B10" s="9" t="e">
        <f>'2.Capex Details'!#REF!</f>
        <v>#REF!</v>
      </c>
      <c r="C10" s="9">
        <v>1</v>
      </c>
      <c r="D10" s="9"/>
      <c r="E10" s="9">
        <v>8</v>
      </c>
      <c r="F10" s="9">
        <f t="shared" si="2"/>
        <v>0</v>
      </c>
      <c r="G10" s="9">
        <v>2</v>
      </c>
      <c r="H10" s="9">
        <f t="shared" si="0"/>
        <v>0</v>
      </c>
      <c r="I10" s="9">
        <v>6</v>
      </c>
      <c r="J10" s="9">
        <f t="shared" si="3"/>
        <v>0</v>
      </c>
      <c r="K10" s="9">
        <v>1500</v>
      </c>
      <c r="L10" s="9">
        <v>1</v>
      </c>
      <c r="M10" s="9">
        <f t="shared" si="1"/>
        <v>0</v>
      </c>
    </row>
    <row r="11" spans="1:15">
      <c r="A11" s="213">
        <v>4</v>
      </c>
      <c r="B11" s="9" t="e">
        <f>'2.Capex Details'!#REF!</f>
        <v>#REF!</v>
      </c>
      <c r="C11" s="9">
        <v>1</v>
      </c>
      <c r="D11" s="9"/>
      <c r="E11" s="9">
        <v>8</v>
      </c>
      <c r="F11" s="9">
        <f t="shared" si="2"/>
        <v>0</v>
      </c>
      <c r="G11" s="9">
        <v>4</v>
      </c>
      <c r="H11" s="9">
        <f t="shared" si="0"/>
        <v>0</v>
      </c>
      <c r="I11" s="9">
        <v>8</v>
      </c>
      <c r="J11" s="9">
        <f t="shared" si="3"/>
        <v>0</v>
      </c>
      <c r="K11" s="9">
        <v>1800</v>
      </c>
      <c r="L11" s="9">
        <v>1</v>
      </c>
      <c r="M11" s="9">
        <f t="shared" si="1"/>
        <v>0</v>
      </c>
    </row>
    <row r="12" spans="1:15">
      <c r="A12" s="213">
        <v>5</v>
      </c>
      <c r="B12" s="9" t="e">
        <f>'2.Capex Details'!#REF!</f>
        <v>#REF!</v>
      </c>
      <c r="C12" s="9">
        <v>1</v>
      </c>
      <c r="D12" s="9"/>
      <c r="E12" s="9">
        <v>8</v>
      </c>
      <c r="F12" s="9">
        <f t="shared" si="2"/>
        <v>0</v>
      </c>
      <c r="G12" s="9">
        <v>2</v>
      </c>
      <c r="H12" s="9">
        <f t="shared" si="0"/>
        <v>0</v>
      </c>
      <c r="I12" s="9">
        <v>6</v>
      </c>
      <c r="J12" s="9">
        <f t="shared" si="3"/>
        <v>0</v>
      </c>
      <c r="K12" s="9">
        <v>1000</v>
      </c>
      <c r="L12" s="9">
        <v>1</v>
      </c>
      <c r="M12" s="9">
        <f t="shared" si="1"/>
        <v>0</v>
      </c>
    </row>
    <row r="13" spans="1:15">
      <c r="A13" s="213">
        <v>6</v>
      </c>
      <c r="B13" s="9" t="e">
        <f>'2.Capex Details'!#REF!</f>
        <v>#REF!</v>
      </c>
      <c r="C13" s="9">
        <v>1</v>
      </c>
      <c r="D13" s="9"/>
      <c r="E13" s="9">
        <v>8</v>
      </c>
      <c r="F13" s="9">
        <f>D13*E13*C13</f>
        <v>0</v>
      </c>
      <c r="G13" s="9">
        <v>2</v>
      </c>
      <c r="H13" s="9">
        <f t="shared" si="0"/>
        <v>0</v>
      </c>
      <c r="I13" s="9">
        <v>7</v>
      </c>
      <c r="J13" s="9">
        <f>H13*I13</f>
        <v>0</v>
      </c>
      <c r="K13" s="9">
        <v>1500</v>
      </c>
      <c r="L13" s="9">
        <v>1</v>
      </c>
      <c r="M13" s="9">
        <f>D13*L13</f>
        <v>0</v>
      </c>
    </row>
    <row r="14" spans="1:15">
      <c r="A14" s="213">
        <v>7</v>
      </c>
      <c r="B14" s="9" t="e">
        <f>'2.Capex Details'!#REF!</f>
        <v>#REF!</v>
      </c>
      <c r="C14" s="9">
        <v>1</v>
      </c>
      <c r="D14" s="9"/>
      <c r="E14" s="9"/>
      <c r="F14" s="9"/>
      <c r="G14" s="9"/>
      <c r="H14" s="9"/>
      <c r="I14" s="9"/>
      <c r="J14" s="9"/>
      <c r="K14" s="9"/>
      <c r="L14" s="9"/>
      <c r="M14" s="9"/>
      <c r="O14">
        <f>15*50</f>
        <v>750</v>
      </c>
    </row>
    <row r="15" spans="1:15">
      <c r="A15" s="213">
        <v>8</v>
      </c>
      <c r="B15" s="9"/>
      <c r="C15" s="9"/>
      <c r="D15" s="9"/>
      <c r="E15" s="9"/>
      <c r="F15" s="9">
        <f t="shared" si="2"/>
        <v>0</v>
      </c>
      <c r="G15" s="9">
        <v>0</v>
      </c>
      <c r="H15" s="9"/>
      <c r="I15" s="9"/>
      <c r="J15" s="9">
        <f t="shared" si="3"/>
        <v>0</v>
      </c>
      <c r="K15" s="9"/>
      <c r="L15" s="9"/>
      <c r="M15" s="9">
        <f t="shared" si="1"/>
        <v>0</v>
      </c>
    </row>
    <row r="16" spans="1:15">
      <c r="A16" s="213">
        <v>9</v>
      </c>
      <c r="B16" s="9"/>
      <c r="C16" s="9"/>
      <c r="D16" s="9"/>
      <c r="E16" s="9"/>
      <c r="F16" s="9">
        <f t="shared" si="2"/>
        <v>0</v>
      </c>
      <c r="G16" s="9">
        <v>0</v>
      </c>
      <c r="H16" s="9"/>
      <c r="I16" s="9"/>
      <c r="J16" s="9">
        <f t="shared" si="3"/>
        <v>0</v>
      </c>
      <c r="K16" s="9"/>
      <c r="L16" s="9"/>
      <c r="M16" s="9">
        <f t="shared" si="1"/>
        <v>0</v>
      </c>
    </row>
    <row r="17" spans="1:17">
      <c r="A17" s="213">
        <v>10</v>
      </c>
      <c r="B17" s="9"/>
      <c r="C17" s="9"/>
      <c r="D17" s="9"/>
      <c r="E17" s="9"/>
      <c r="F17" s="9">
        <f t="shared" si="2"/>
        <v>0</v>
      </c>
      <c r="G17" s="9">
        <v>0</v>
      </c>
      <c r="H17" s="9"/>
      <c r="I17" s="9"/>
      <c r="J17" s="9">
        <f t="shared" si="3"/>
        <v>0</v>
      </c>
      <c r="K17" s="9"/>
      <c r="L17" s="9"/>
      <c r="M17" s="9">
        <f t="shared" si="1"/>
        <v>0</v>
      </c>
    </row>
    <row r="18" spans="1:17">
      <c r="A18" s="12"/>
      <c r="B18" s="12"/>
      <c r="N18">
        <f>SUM(F8:F14)</f>
        <v>0</v>
      </c>
    </row>
    <row r="19" spans="1:17">
      <c r="A19" s="12"/>
      <c r="B19" s="12"/>
    </row>
    <row r="21" spans="1:17" ht="18.75">
      <c r="A21" s="724" t="s">
        <v>2005</v>
      </c>
      <c r="B21" s="724"/>
      <c r="C21" s="724"/>
      <c r="D21" s="724"/>
      <c r="E21" s="724"/>
      <c r="F21" s="724"/>
      <c r="G21" s="724"/>
      <c r="H21" s="724"/>
      <c r="I21" s="724"/>
      <c r="J21" s="724"/>
      <c r="K21" s="724"/>
    </row>
    <row r="23" spans="1:17">
      <c r="B23" s="68"/>
      <c r="C23" s="68"/>
      <c r="D23" s="68"/>
      <c r="E23" s="68"/>
      <c r="F23" s="148">
        <v>1</v>
      </c>
      <c r="G23" s="146">
        <f t="shared" ref="G23:L23" si="4">(F23*5%)+F23</f>
        <v>1.05</v>
      </c>
      <c r="H23" s="146">
        <f t="shared" si="4"/>
        <v>1.1025</v>
      </c>
      <c r="I23" s="146">
        <f t="shared" si="4"/>
        <v>1.1576250000000001</v>
      </c>
      <c r="J23" s="146">
        <f t="shared" si="4"/>
        <v>1.2155062500000002</v>
      </c>
      <c r="K23" s="146">
        <f t="shared" si="4"/>
        <v>1.2762815625000004</v>
      </c>
      <c r="L23" s="146">
        <f t="shared" si="4"/>
        <v>1.3400956406250004</v>
      </c>
    </row>
    <row r="24" spans="1:17">
      <c r="B24" s="119" t="s">
        <v>0</v>
      </c>
      <c r="C24" s="119" t="s">
        <v>132</v>
      </c>
      <c r="D24" s="119" t="s">
        <v>146</v>
      </c>
      <c r="E24" s="119" t="s">
        <v>153</v>
      </c>
      <c r="F24" s="91" t="s">
        <v>2</v>
      </c>
      <c r="G24" s="91" t="s">
        <v>3</v>
      </c>
      <c r="H24" s="91" t="s">
        <v>4</v>
      </c>
      <c r="I24" s="91" t="s">
        <v>5</v>
      </c>
      <c r="J24" s="91" t="s">
        <v>6</v>
      </c>
      <c r="K24" s="91" t="s">
        <v>170</v>
      </c>
      <c r="L24" s="91" t="s">
        <v>169</v>
      </c>
    </row>
    <row r="25" spans="1:17">
      <c r="B25" s="71"/>
      <c r="C25" s="71"/>
      <c r="D25" s="71"/>
      <c r="E25" s="71"/>
      <c r="F25" s="69"/>
      <c r="G25" s="69"/>
      <c r="H25" s="69"/>
      <c r="I25" s="69"/>
      <c r="J25" s="69"/>
      <c r="K25" s="69"/>
      <c r="L25" s="69"/>
    </row>
    <row r="26" spans="1:17">
      <c r="B26" s="71" t="s">
        <v>126</v>
      </c>
      <c r="C26" s="71"/>
      <c r="D26" s="71"/>
      <c r="E26" s="71"/>
      <c r="F26" s="69"/>
      <c r="G26" s="69"/>
      <c r="H26" s="69"/>
      <c r="I26" s="69"/>
      <c r="J26" s="69"/>
      <c r="K26" s="69"/>
      <c r="L26" s="69"/>
      <c r="Q26" s="68"/>
    </row>
    <row r="27" spans="1:17">
      <c r="B27" s="160" t="s">
        <v>446</v>
      </c>
      <c r="C27" s="81"/>
      <c r="D27" s="81"/>
      <c r="E27" s="81"/>
      <c r="F27" s="70"/>
      <c r="G27" s="70"/>
      <c r="H27" s="70"/>
      <c r="I27" s="70"/>
      <c r="J27" s="70"/>
      <c r="K27" s="70"/>
      <c r="L27" s="70"/>
      <c r="Q27" s="68"/>
    </row>
    <row r="28" spans="1:17">
      <c r="B28" s="81" t="e">
        <f>B8</f>
        <v>#REF!</v>
      </c>
      <c r="C28" s="81"/>
      <c r="D28" s="81">
        <f t="shared" ref="D28:D38" si="5">H8</f>
        <v>0</v>
      </c>
      <c r="E28" s="81">
        <f t="shared" ref="E28:E38" si="6">K8</f>
        <v>3000</v>
      </c>
      <c r="F28" s="70">
        <f>$D$28*$E$28*F23</f>
        <v>0</v>
      </c>
      <c r="G28" s="70">
        <f t="shared" ref="G28:L28" si="7">$D$28*$E$28*G23</f>
        <v>0</v>
      </c>
      <c r="H28" s="70">
        <f t="shared" si="7"/>
        <v>0</v>
      </c>
      <c r="I28" s="70">
        <f t="shared" si="7"/>
        <v>0</v>
      </c>
      <c r="J28" s="70">
        <f t="shared" si="7"/>
        <v>0</v>
      </c>
      <c r="K28" s="70">
        <f t="shared" si="7"/>
        <v>0</v>
      </c>
      <c r="L28" s="70">
        <f t="shared" si="7"/>
        <v>0</v>
      </c>
      <c r="Q28" s="68"/>
    </row>
    <row r="29" spans="1:17">
      <c r="B29" s="81" t="e">
        <f>B9</f>
        <v>#REF!</v>
      </c>
      <c r="C29" s="81"/>
      <c r="D29" s="81">
        <f t="shared" si="5"/>
        <v>0</v>
      </c>
      <c r="E29" s="81">
        <f t="shared" si="6"/>
        <v>1500</v>
      </c>
      <c r="F29" s="70">
        <f>$D$29*$E$29*F23</f>
        <v>0</v>
      </c>
      <c r="G29" s="70">
        <f t="shared" ref="G29:L29" si="8">$D$29*$E$29*G23</f>
        <v>0</v>
      </c>
      <c r="H29" s="70">
        <f t="shared" si="8"/>
        <v>0</v>
      </c>
      <c r="I29" s="70">
        <f t="shared" si="8"/>
        <v>0</v>
      </c>
      <c r="J29" s="70">
        <f t="shared" si="8"/>
        <v>0</v>
      </c>
      <c r="K29" s="70">
        <f t="shared" si="8"/>
        <v>0</v>
      </c>
      <c r="L29" s="70">
        <f t="shared" si="8"/>
        <v>0</v>
      </c>
      <c r="Q29" s="68"/>
    </row>
    <row r="30" spans="1:17">
      <c r="B30" s="81" t="e">
        <f>B10</f>
        <v>#REF!</v>
      </c>
      <c r="C30" s="81"/>
      <c r="D30" s="81">
        <f t="shared" si="5"/>
        <v>0</v>
      </c>
      <c r="E30" s="81">
        <f t="shared" si="6"/>
        <v>1500</v>
      </c>
      <c r="F30" s="70">
        <f>$D$30*$E$30*F23</f>
        <v>0</v>
      </c>
      <c r="G30" s="70">
        <f t="shared" ref="G30:L30" si="9">$D$30*$E$30*G23</f>
        <v>0</v>
      </c>
      <c r="H30" s="70">
        <f t="shared" si="9"/>
        <v>0</v>
      </c>
      <c r="I30" s="70">
        <f t="shared" si="9"/>
        <v>0</v>
      </c>
      <c r="J30" s="70">
        <f t="shared" si="9"/>
        <v>0</v>
      </c>
      <c r="K30" s="70">
        <f t="shared" si="9"/>
        <v>0</v>
      </c>
      <c r="L30" s="70">
        <f t="shared" si="9"/>
        <v>0</v>
      </c>
      <c r="Q30" s="68"/>
    </row>
    <row r="31" spans="1:17">
      <c r="B31" s="81" t="e">
        <f>B11</f>
        <v>#REF!</v>
      </c>
      <c r="C31" s="81"/>
      <c r="D31" s="81">
        <f t="shared" si="5"/>
        <v>0</v>
      </c>
      <c r="E31" s="81">
        <f t="shared" si="6"/>
        <v>1800</v>
      </c>
      <c r="F31" s="70">
        <f>$D$31*$E$31*F23</f>
        <v>0</v>
      </c>
      <c r="G31" s="70">
        <f t="shared" ref="G31:L31" si="10">$D$31*$E$31*G23</f>
        <v>0</v>
      </c>
      <c r="H31" s="70">
        <f t="shared" si="10"/>
        <v>0</v>
      </c>
      <c r="I31" s="70">
        <f t="shared" si="10"/>
        <v>0</v>
      </c>
      <c r="J31" s="70">
        <f t="shared" si="10"/>
        <v>0</v>
      </c>
      <c r="K31" s="70">
        <f t="shared" si="10"/>
        <v>0</v>
      </c>
      <c r="L31" s="70">
        <f t="shared" si="10"/>
        <v>0</v>
      </c>
      <c r="Q31" s="68"/>
    </row>
    <row r="32" spans="1:17">
      <c r="B32" s="81" t="e">
        <f>B12</f>
        <v>#REF!</v>
      </c>
      <c r="C32" s="81"/>
      <c r="D32" s="81">
        <f t="shared" si="5"/>
        <v>0</v>
      </c>
      <c r="E32" s="81">
        <f t="shared" si="6"/>
        <v>1000</v>
      </c>
      <c r="F32" s="70">
        <f>$D$32*$E$32*F23</f>
        <v>0</v>
      </c>
      <c r="G32" s="70">
        <f t="shared" ref="G32:L32" si="11">$D$32*$E$32*G23</f>
        <v>0</v>
      </c>
      <c r="H32" s="70">
        <f t="shared" si="11"/>
        <v>0</v>
      </c>
      <c r="I32" s="70">
        <f t="shared" si="11"/>
        <v>0</v>
      </c>
      <c r="J32" s="70">
        <f t="shared" si="11"/>
        <v>0</v>
      </c>
      <c r="K32" s="70">
        <f t="shared" si="11"/>
        <v>0</v>
      </c>
      <c r="L32" s="70">
        <f t="shared" si="11"/>
        <v>0</v>
      </c>
      <c r="Q32" s="68"/>
    </row>
    <row r="33" spans="2:17">
      <c r="B33" s="81" t="e">
        <f>+B13</f>
        <v>#REF!</v>
      </c>
      <c r="C33" s="81"/>
      <c r="D33" s="81">
        <f t="shared" si="5"/>
        <v>0</v>
      </c>
      <c r="E33" s="81">
        <f t="shared" si="6"/>
        <v>1500</v>
      </c>
      <c r="F33" s="70">
        <f>$D$33*$E$33*F23</f>
        <v>0</v>
      </c>
      <c r="G33" s="70">
        <f t="shared" ref="G33:L33" si="12">$D$33*$E$33*G23</f>
        <v>0</v>
      </c>
      <c r="H33" s="70">
        <f t="shared" si="12"/>
        <v>0</v>
      </c>
      <c r="I33" s="70">
        <f t="shared" si="12"/>
        <v>0</v>
      </c>
      <c r="J33" s="70">
        <f t="shared" si="12"/>
        <v>0</v>
      </c>
      <c r="K33" s="70">
        <f t="shared" si="12"/>
        <v>0</v>
      </c>
      <c r="L33" s="70">
        <f t="shared" si="12"/>
        <v>0</v>
      </c>
      <c r="Q33" s="68"/>
    </row>
    <row r="34" spans="2:17">
      <c r="B34" s="81" t="e">
        <f>+B14</f>
        <v>#REF!</v>
      </c>
      <c r="C34" s="81"/>
      <c r="D34" s="81">
        <f t="shared" si="5"/>
        <v>0</v>
      </c>
      <c r="E34" s="81">
        <f t="shared" si="6"/>
        <v>0</v>
      </c>
      <c r="F34" s="70">
        <f>$D$34*$E$34*F23</f>
        <v>0</v>
      </c>
      <c r="G34" s="70">
        <f t="shared" ref="G34:L34" si="13">$D$34*$E$34*G23</f>
        <v>0</v>
      </c>
      <c r="H34" s="70">
        <f t="shared" si="13"/>
        <v>0</v>
      </c>
      <c r="I34" s="70">
        <f t="shared" si="13"/>
        <v>0</v>
      </c>
      <c r="J34" s="70">
        <f t="shared" si="13"/>
        <v>0</v>
      </c>
      <c r="K34" s="70">
        <f t="shared" si="13"/>
        <v>0</v>
      </c>
      <c r="L34" s="70">
        <f t="shared" si="13"/>
        <v>0</v>
      </c>
      <c r="Q34" s="68"/>
    </row>
    <row r="35" spans="2:17">
      <c r="B35" s="81"/>
      <c r="C35" s="81"/>
      <c r="D35" s="81">
        <f t="shared" si="5"/>
        <v>0</v>
      </c>
      <c r="E35" s="81">
        <f t="shared" si="6"/>
        <v>0</v>
      </c>
      <c r="F35" s="70">
        <f>$D$35*$E$35*F23</f>
        <v>0</v>
      </c>
      <c r="G35" s="70">
        <f t="shared" ref="G35:L35" si="14">$D$35*$E$35*G23</f>
        <v>0</v>
      </c>
      <c r="H35" s="70">
        <f t="shared" si="14"/>
        <v>0</v>
      </c>
      <c r="I35" s="70">
        <f t="shared" si="14"/>
        <v>0</v>
      </c>
      <c r="J35" s="70">
        <f t="shared" si="14"/>
        <v>0</v>
      </c>
      <c r="K35" s="70">
        <f t="shared" si="14"/>
        <v>0</v>
      </c>
      <c r="L35" s="70">
        <f t="shared" si="14"/>
        <v>0</v>
      </c>
      <c r="Q35" s="68"/>
    </row>
    <row r="36" spans="2:17">
      <c r="B36" s="81"/>
      <c r="C36" s="81"/>
      <c r="D36" s="81">
        <f t="shared" si="5"/>
        <v>0</v>
      </c>
      <c r="E36" s="81">
        <f t="shared" si="6"/>
        <v>0</v>
      </c>
      <c r="F36" s="70">
        <f>$D$36*$E$36*F23</f>
        <v>0</v>
      </c>
      <c r="G36" s="70">
        <f t="shared" ref="G36:L36" si="15">$D$36*$E$36*G23</f>
        <v>0</v>
      </c>
      <c r="H36" s="70">
        <f t="shared" si="15"/>
        <v>0</v>
      </c>
      <c r="I36" s="70">
        <f t="shared" si="15"/>
        <v>0</v>
      </c>
      <c r="J36" s="70">
        <f t="shared" si="15"/>
        <v>0</v>
      </c>
      <c r="K36" s="70">
        <f t="shared" si="15"/>
        <v>0</v>
      </c>
      <c r="L36" s="70">
        <f t="shared" si="15"/>
        <v>0</v>
      </c>
      <c r="Q36" s="68"/>
    </row>
    <row r="37" spans="2:17">
      <c r="B37" s="81"/>
      <c r="C37" s="81"/>
      <c r="D37" s="81">
        <f t="shared" si="5"/>
        <v>0</v>
      </c>
      <c r="E37" s="81">
        <f t="shared" si="6"/>
        <v>0</v>
      </c>
      <c r="F37" s="70">
        <f>$D$37*$E$37*F23</f>
        <v>0</v>
      </c>
      <c r="G37" s="70">
        <f t="shared" ref="G37:L37" si="16">$D$37*$E$37*G23</f>
        <v>0</v>
      </c>
      <c r="H37" s="70">
        <f t="shared" si="16"/>
        <v>0</v>
      </c>
      <c r="I37" s="70">
        <f t="shared" si="16"/>
        <v>0</v>
      </c>
      <c r="J37" s="70">
        <f t="shared" si="16"/>
        <v>0</v>
      </c>
      <c r="K37" s="70">
        <f t="shared" si="16"/>
        <v>0</v>
      </c>
      <c r="L37" s="70">
        <f t="shared" si="16"/>
        <v>0</v>
      </c>
      <c r="Q37" s="68"/>
    </row>
    <row r="38" spans="2:17">
      <c r="B38" s="71"/>
      <c r="C38" s="71"/>
      <c r="D38" s="81">
        <f t="shared" si="5"/>
        <v>0</v>
      </c>
      <c r="E38" s="81">
        <f t="shared" si="6"/>
        <v>0</v>
      </c>
      <c r="F38" s="70">
        <f>$D$38*$E$38*F23</f>
        <v>0</v>
      </c>
      <c r="G38" s="70">
        <f t="shared" ref="G38:L38" si="17">$D$38*$E$38*G23</f>
        <v>0</v>
      </c>
      <c r="H38" s="70">
        <f t="shared" si="17"/>
        <v>0</v>
      </c>
      <c r="I38" s="70">
        <f t="shared" si="17"/>
        <v>0</v>
      </c>
      <c r="J38" s="70">
        <f t="shared" si="17"/>
        <v>0</v>
      </c>
      <c r="K38" s="70">
        <f t="shared" si="17"/>
        <v>0</v>
      </c>
      <c r="L38" s="70">
        <f t="shared" si="17"/>
        <v>0</v>
      </c>
      <c r="Q38" s="68"/>
    </row>
    <row r="39" spans="2:17">
      <c r="B39" s="71" t="s">
        <v>143</v>
      </c>
      <c r="C39" s="71"/>
      <c r="D39" s="71"/>
      <c r="E39" s="71"/>
      <c r="F39" s="70">
        <f>SUM(F28:F38)</f>
        <v>0</v>
      </c>
      <c r="G39" s="70">
        <f t="shared" ref="G39:L39" si="18">SUM(G28:G38)</f>
        <v>0</v>
      </c>
      <c r="H39" s="70">
        <f t="shared" si="18"/>
        <v>0</v>
      </c>
      <c r="I39" s="70">
        <f t="shared" si="18"/>
        <v>0</v>
      </c>
      <c r="J39" s="70">
        <f t="shared" si="18"/>
        <v>0</v>
      </c>
      <c r="K39" s="70">
        <f t="shared" si="18"/>
        <v>0</v>
      </c>
      <c r="L39" s="70">
        <f t="shared" si="18"/>
        <v>0</v>
      </c>
      <c r="Q39" s="68"/>
    </row>
    <row r="40" spans="2:17">
      <c r="B40" s="69"/>
      <c r="C40" s="69"/>
      <c r="D40" s="69"/>
      <c r="E40" s="69"/>
      <c r="F40" s="70"/>
      <c r="G40" s="70"/>
      <c r="H40" s="70"/>
      <c r="I40" s="70"/>
      <c r="J40" s="70"/>
      <c r="K40" s="70"/>
      <c r="L40" s="70"/>
      <c r="Q40" s="68"/>
    </row>
    <row r="41" spans="2:17">
      <c r="B41" s="71" t="s">
        <v>142</v>
      </c>
      <c r="C41" s="71"/>
      <c r="D41" s="71"/>
      <c r="E41" s="71"/>
      <c r="F41" s="70"/>
      <c r="G41" s="70"/>
      <c r="H41" s="70"/>
      <c r="I41" s="70"/>
      <c r="J41" s="70"/>
      <c r="K41" s="70"/>
      <c r="L41" s="70"/>
      <c r="Q41" s="68"/>
    </row>
    <row r="42" spans="2:17">
      <c r="B42" s="71" t="s">
        <v>309</v>
      </c>
      <c r="C42" s="71"/>
      <c r="D42" s="71"/>
      <c r="E42" s="71"/>
      <c r="F42" s="70"/>
      <c r="G42" s="70"/>
      <c r="H42" s="70"/>
      <c r="I42" s="70"/>
      <c r="J42" s="70"/>
      <c r="K42" s="70"/>
      <c r="L42" s="70"/>
    </row>
    <row r="43" spans="2:17">
      <c r="B43" s="69" t="s">
        <v>310</v>
      </c>
      <c r="C43" s="69" t="s">
        <v>443</v>
      </c>
      <c r="D43" s="69">
        <f>SUM(J8:J17)</f>
        <v>0</v>
      </c>
      <c r="E43" s="69">
        <v>100</v>
      </c>
      <c r="F43" s="70">
        <f>$D$43*$E$43*F23</f>
        <v>0</v>
      </c>
      <c r="G43" s="70">
        <f t="shared" ref="G43:L43" si="19">$D$43*$E$43*G23</f>
        <v>0</v>
      </c>
      <c r="H43" s="70">
        <f t="shared" si="19"/>
        <v>0</v>
      </c>
      <c r="I43" s="70">
        <f t="shared" si="19"/>
        <v>0</v>
      </c>
      <c r="J43" s="70">
        <f t="shared" si="19"/>
        <v>0</v>
      </c>
      <c r="K43" s="70">
        <f t="shared" si="19"/>
        <v>0</v>
      </c>
      <c r="L43" s="70">
        <f t="shared" si="19"/>
        <v>0</v>
      </c>
      <c r="N43">
        <v>100</v>
      </c>
    </row>
    <row r="44" spans="2:17">
      <c r="B44" s="69" t="s">
        <v>311</v>
      </c>
      <c r="C44" s="69" t="s">
        <v>445</v>
      </c>
      <c r="D44" s="69">
        <f>SUM(M8:M17)</f>
        <v>0</v>
      </c>
      <c r="E44" s="69">
        <v>300</v>
      </c>
      <c r="F44" s="70">
        <f>$D$44*$E$44*F23</f>
        <v>0</v>
      </c>
      <c r="G44" s="70">
        <f t="shared" ref="G44:L44" si="20">$D$44*$E$44*G23</f>
        <v>0</v>
      </c>
      <c r="H44" s="70">
        <f t="shared" si="20"/>
        <v>0</v>
      </c>
      <c r="I44" s="70">
        <f t="shared" si="20"/>
        <v>0</v>
      </c>
      <c r="J44" s="70">
        <f t="shared" si="20"/>
        <v>0</v>
      </c>
      <c r="K44" s="70">
        <f t="shared" si="20"/>
        <v>0</v>
      </c>
      <c r="L44" s="70">
        <f t="shared" si="20"/>
        <v>0</v>
      </c>
      <c r="N44">
        <v>300</v>
      </c>
    </row>
    <row r="45" spans="2:17">
      <c r="B45" s="69" t="s">
        <v>1619</v>
      </c>
      <c r="C45" s="69"/>
      <c r="D45" s="69"/>
      <c r="E45" s="579"/>
      <c r="F45" s="292"/>
      <c r="G45" s="292"/>
      <c r="H45" s="292"/>
      <c r="I45" s="292"/>
      <c r="J45" s="292"/>
      <c r="K45" s="292"/>
      <c r="L45" s="292"/>
      <c r="N45">
        <v>20</v>
      </c>
    </row>
    <row r="46" spans="2:17">
      <c r="B46" s="69"/>
      <c r="C46" s="69"/>
      <c r="D46" s="69"/>
      <c r="E46" s="69"/>
      <c r="F46" s="70"/>
      <c r="G46" s="70"/>
      <c r="H46" s="70"/>
      <c r="I46" s="70"/>
      <c r="J46" s="70"/>
      <c r="K46" s="70"/>
      <c r="L46" s="70"/>
    </row>
    <row r="47" spans="2:17">
      <c r="B47" s="69"/>
      <c r="C47" s="69"/>
      <c r="D47" s="69"/>
      <c r="E47" s="69"/>
      <c r="F47" s="70"/>
      <c r="G47" s="70"/>
      <c r="H47" s="70"/>
      <c r="I47" s="70"/>
      <c r="J47" s="70"/>
      <c r="K47" s="70"/>
      <c r="L47" s="70"/>
    </row>
    <row r="48" spans="2:17">
      <c r="B48" s="69"/>
      <c r="C48" s="69"/>
      <c r="D48" s="69"/>
      <c r="E48" s="69"/>
      <c r="F48" s="70"/>
      <c r="G48" s="70"/>
      <c r="H48" s="70"/>
      <c r="I48" s="70"/>
      <c r="J48" s="70"/>
      <c r="K48" s="70"/>
      <c r="L48" s="70"/>
    </row>
    <row r="49" spans="1:12">
      <c r="B49" s="71" t="s">
        <v>325</v>
      </c>
      <c r="C49" s="71"/>
      <c r="D49" s="71"/>
      <c r="E49" s="71"/>
      <c r="F49" s="87">
        <f>SUM(F43:F48)</f>
        <v>0</v>
      </c>
      <c r="G49" s="87">
        <f t="shared" ref="G49:L49" si="21">SUM(G43:G48)</f>
        <v>0</v>
      </c>
      <c r="H49" s="87">
        <f t="shared" si="21"/>
        <v>0</v>
      </c>
      <c r="I49" s="87">
        <f t="shared" si="21"/>
        <v>0</v>
      </c>
      <c r="J49" s="87">
        <f t="shared" si="21"/>
        <v>0</v>
      </c>
      <c r="K49" s="87">
        <f t="shared" si="21"/>
        <v>0</v>
      </c>
      <c r="L49" s="87">
        <f t="shared" si="21"/>
        <v>0</v>
      </c>
    </row>
    <row r="50" spans="1:12">
      <c r="B50" s="71"/>
      <c r="C50" s="71"/>
      <c r="D50" s="71"/>
      <c r="E50" s="71"/>
      <c r="F50" s="87"/>
      <c r="G50" s="87"/>
      <c r="H50" s="87"/>
      <c r="I50" s="87"/>
      <c r="J50" s="87"/>
      <c r="K50" s="87"/>
      <c r="L50" s="87"/>
    </row>
    <row r="51" spans="1:12">
      <c r="B51" s="160" t="s">
        <v>312</v>
      </c>
      <c r="C51" s="160"/>
      <c r="D51" s="81"/>
      <c r="E51" s="81"/>
      <c r="F51" s="70"/>
      <c r="G51" s="70"/>
      <c r="H51" s="70"/>
      <c r="I51" s="70"/>
      <c r="J51" s="70"/>
      <c r="K51" s="70"/>
      <c r="L51" s="70"/>
    </row>
    <row r="52" spans="1:12">
      <c r="B52" s="81" t="s">
        <v>313</v>
      </c>
      <c r="C52" s="69" t="s">
        <v>391</v>
      </c>
      <c r="D52" s="81">
        <v>1</v>
      </c>
      <c r="E52" s="586"/>
      <c r="F52" s="70">
        <f t="shared" ref="F52:L52" si="22">$D$52*$E$52*12*F23</f>
        <v>0</v>
      </c>
      <c r="G52" s="70">
        <f t="shared" si="22"/>
        <v>0</v>
      </c>
      <c r="H52" s="70">
        <f t="shared" si="22"/>
        <v>0</v>
      </c>
      <c r="I52" s="70">
        <f t="shared" si="22"/>
        <v>0</v>
      </c>
      <c r="J52" s="70">
        <f t="shared" si="22"/>
        <v>0</v>
      </c>
      <c r="K52" s="70">
        <f t="shared" si="22"/>
        <v>0</v>
      </c>
      <c r="L52" s="70">
        <f t="shared" si="22"/>
        <v>0</v>
      </c>
    </row>
    <row r="53" spans="1:12">
      <c r="B53" s="81"/>
      <c r="C53" s="81"/>
      <c r="D53" s="81"/>
      <c r="E53" s="586"/>
      <c r="F53" s="70"/>
      <c r="G53" s="70"/>
      <c r="H53" s="70"/>
      <c r="I53" s="70"/>
      <c r="J53" s="70"/>
      <c r="K53" s="70"/>
      <c r="L53" s="70"/>
    </row>
    <row r="54" spans="1:12">
      <c r="B54" s="81"/>
      <c r="C54" s="81"/>
      <c r="D54" s="81"/>
      <c r="E54" s="586"/>
      <c r="F54" s="70"/>
      <c r="G54" s="70"/>
      <c r="H54" s="70"/>
      <c r="I54" s="70"/>
      <c r="J54" s="70"/>
      <c r="K54" s="70"/>
      <c r="L54" s="70"/>
    </row>
    <row r="55" spans="1:12">
      <c r="B55" s="81"/>
      <c r="C55" s="81"/>
      <c r="D55" s="81"/>
      <c r="E55" s="586"/>
      <c r="F55" s="70"/>
      <c r="G55" s="70"/>
      <c r="H55" s="70"/>
      <c r="I55" s="70"/>
      <c r="J55" s="70"/>
      <c r="K55" s="70"/>
      <c r="L55" s="70"/>
    </row>
    <row r="56" spans="1:12">
      <c r="B56" s="71" t="s">
        <v>329</v>
      </c>
      <c r="C56" s="71"/>
      <c r="D56" s="71"/>
      <c r="E56" s="71"/>
      <c r="F56" s="87">
        <f>SUM(F52:F55)</f>
        <v>0</v>
      </c>
      <c r="G56" s="87">
        <f t="shared" ref="G56:L56" si="23">SUM(G52:G55)</f>
        <v>0</v>
      </c>
      <c r="H56" s="87">
        <f t="shared" si="23"/>
        <v>0</v>
      </c>
      <c r="I56" s="87">
        <f t="shared" si="23"/>
        <v>0</v>
      </c>
      <c r="J56" s="87">
        <f t="shared" si="23"/>
        <v>0</v>
      </c>
      <c r="K56" s="87">
        <f t="shared" si="23"/>
        <v>0</v>
      </c>
      <c r="L56" s="87">
        <f t="shared" si="23"/>
        <v>0</v>
      </c>
    </row>
    <row r="57" spans="1:12">
      <c r="B57" s="71" t="s">
        <v>129</v>
      </c>
      <c r="C57" s="71"/>
      <c r="D57" s="71"/>
      <c r="E57" s="71"/>
      <c r="F57" s="87">
        <f>F49+F56</f>
        <v>0</v>
      </c>
      <c r="G57" s="87">
        <f t="shared" ref="G57:L57" si="24">G49+G56</f>
        <v>0</v>
      </c>
      <c r="H57" s="87">
        <f t="shared" si="24"/>
        <v>0</v>
      </c>
      <c r="I57" s="87">
        <f t="shared" si="24"/>
        <v>0</v>
      </c>
      <c r="J57" s="87">
        <f t="shared" si="24"/>
        <v>0</v>
      </c>
      <c r="K57" s="87">
        <f t="shared" si="24"/>
        <v>0</v>
      </c>
      <c r="L57" s="87">
        <f t="shared" si="24"/>
        <v>0</v>
      </c>
    </row>
    <row r="58" spans="1:12">
      <c r="B58" s="69"/>
      <c r="C58" s="69"/>
      <c r="D58" s="69"/>
      <c r="E58" s="69"/>
      <c r="F58" s="70"/>
      <c r="G58" s="70"/>
      <c r="H58" s="70"/>
      <c r="I58" s="70"/>
      <c r="J58" s="70"/>
      <c r="K58" s="70"/>
      <c r="L58" s="70"/>
    </row>
    <row r="59" spans="1:12">
      <c r="B59" s="71" t="s">
        <v>316</v>
      </c>
      <c r="C59" s="71"/>
      <c r="D59" s="71"/>
      <c r="E59" s="71"/>
      <c r="F59" s="87">
        <f t="shared" ref="F59:L59" si="25">F39-F57</f>
        <v>0</v>
      </c>
      <c r="G59" s="87">
        <f t="shared" si="25"/>
        <v>0</v>
      </c>
      <c r="H59" s="87">
        <f t="shared" si="25"/>
        <v>0</v>
      </c>
      <c r="I59" s="87">
        <f t="shared" si="25"/>
        <v>0</v>
      </c>
      <c r="J59" s="87">
        <f t="shared" si="25"/>
        <v>0</v>
      </c>
      <c r="K59" s="87">
        <f t="shared" si="25"/>
        <v>0</v>
      </c>
      <c r="L59" s="87">
        <f t="shared" si="25"/>
        <v>0</v>
      </c>
    </row>
    <row r="60" spans="1:12">
      <c r="B60" s="88"/>
      <c r="C60" s="88"/>
      <c r="D60" s="88"/>
      <c r="E60" s="88"/>
      <c r="F60" s="199"/>
      <c r="G60" s="199"/>
      <c r="H60" s="199"/>
      <c r="I60" s="199"/>
      <c r="J60" s="199"/>
      <c r="K60" s="199"/>
      <c r="L60" s="199"/>
    </row>
    <row r="61" spans="1:12">
      <c r="B61" s="68"/>
      <c r="C61" s="68"/>
      <c r="D61" s="88"/>
      <c r="E61" s="88"/>
      <c r="F61" s="199"/>
      <c r="G61" s="199"/>
      <c r="H61" s="199"/>
      <c r="I61" s="199"/>
      <c r="J61" s="199"/>
      <c r="K61" s="199"/>
      <c r="L61" s="199"/>
    </row>
    <row r="62" spans="1:12">
      <c r="A62" s="1073" t="s">
        <v>423</v>
      </c>
      <c r="B62" s="1073"/>
      <c r="C62" s="1073"/>
      <c r="D62" s="1073"/>
      <c r="E62" s="1073"/>
      <c r="F62" s="1073"/>
      <c r="G62" s="1073"/>
      <c r="H62" s="1073"/>
      <c r="I62" s="1073"/>
      <c r="J62" s="1073"/>
      <c r="K62" s="1073"/>
      <c r="L62" s="1073"/>
    </row>
    <row r="65" spans="1:2">
      <c r="A65" t="s">
        <v>531</v>
      </c>
    </row>
    <row r="66" spans="1:2">
      <c r="A66">
        <v>1</v>
      </c>
      <c r="B66" t="s">
        <v>544</v>
      </c>
    </row>
    <row r="67" spans="1:2">
      <c r="A67">
        <v>2</v>
      </c>
      <c r="B67" t="s">
        <v>545</v>
      </c>
    </row>
    <row r="68" spans="1:2">
      <c r="A68">
        <v>3</v>
      </c>
      <c r="B68" s="68" t="s">
        <v>572</v>
      </c>
    </row>
  </sheetData>
  <mergeCells count="4">
    <mergeCell ref="A21:K21"/>
    <mergeCell ref="A3:L3"/>
    <mergeCell ref="A62:L62"/>
    <mergeCell ref="A4:L4"/>
  </mergeCells>
  <pageMargins left="0.7" right="0.7" top="0.75" bottom="0.75" header="0.3" footer="0.3"/>
  <pageSetup paperSize="9" scale="72" orientation="landscape" r:id="rId1"/>
  <rowBreaks count="1" manualBreakCount="1">
    <brk id="20" max="1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9"/>
  <sheetViews>
    <sheetView topLeftCell="A22" workbookViewId="0">
      <selection activeCell="M36" sqref="M36"/>
    </sheetView>
  </sheetViews>
  <sheetFormatPr defaultRowHeight="15"/>
  <cols>
    <col min="2" max="2" width="16.85546875" bestFit="1" customWidth="1"/>
    <col min="3" max="4" width="0" hidden="1" customWidth="1"/>
  </cols>
  <sheetData>
    <row r="1" spans="2:13">
      <c r="C1" t="s">
        <v>1635</v>
      </c>
      <c r="D1" t="s">
        <v>1636</v>
      </c>
      <c r="E1" t="s">
        <v>1637</v>
      </c>
      <c r="F1" t="s">
        <v>153</v>
      </c>
      <c r="G1" t="s">
        <v>705</v>
      </c>
      <c r="I1" t="s">
        <v>1635</v>
      </c>
      <c r="J1" t="s">
        <v>1636</v>
      </c>
      <c r="K1" t="s">
        <v>1637</v>
      </c>
      <c r="L1" t="s">
        <v>153</v>
      </c>
      <c r="M1" t="s">
        <v>705</v>
      </c>
    </row>
    <row r="2" spans="2:13">
      <c r="B2" s="412" t="s">
        <v>168</v>
      </c>
      <c r="C2">
        <v>600</v>
      </c>
      <c r="D2">
        <f>+'16.Facility 5 Agri Input'!C62</f>
        <v>40</v>
      </c>
      <c r="E2">
        <f>+C2*D2</f>
        <v>24000</v>
      </c>
      <c r="F2">
        <f>+'16.Facility 5 Agri Input'!C130</f>
        <v>80</v>
      </c>
      <c r="G2">
        <f>+E2*F2</f>
        <v>1920000</v>
      </c>
      <c r="I2">
        <f>+C2</f>
        <v>600</v>
      </c>
      <c r="J2">
        <f>+D2</f>
        <v>40</v>
      </c>
      <c r="K2">
        <f>+E2</f>
        <v>24000</v>
      </c>
      <c r="L2">
        <f>+'16.Facility 5 Agri Input'!C197</f>
        <v>78</v>
      </c>
      <c r="M2">
        <f>+K2*L2</f>
        <v>1872000</v>
      </c>
    </row>
    <row r="3" spans="2:13">
      <c r="B3" s="412" t="s">
        <v>481</v>
      </c>
      <c r="C3">
        <v>1200</v>
      </c>
      <c r="D3">
        <f>+'16.Facility 5 Agri Input'!C63</f>
        <v>5</v>
      </c>
      <c r="E3">
        <f t="shared" ref="E3:E14" si="0">+C3*D3</f>
        <v>6000</v>
      </c>
      <c r="F3">
        <f>+'16.Facility 5 Agri Input'!C131</f>
        <v>76</v>
      </c>
      <c r="G3">
        <f t="shared" ref="G3:G14" si="1">+E3*F3</f>
        <v>456000</v>
      </c>
      <c r="I3">
        <f t="shared" ref="I3:I14" si="2">+C3</f>
        <v>1200</v>
      </c>
      <c r="J3">
        <f t="shared" ref="J3:J14" si="3">+D3</f>
        <v>5</v>
      </c>
      <c r="K3">
        <f t="shared" ref="K3:K14" si="4">+E3</f>
        <v>6000</v>
      </c>
      <c r="L3">
        <f>+'16.Facility 5 Agri Input'!C198</f>
        <v>75</v>
      </c>
      <c r="M3">
        <f t="shared" ref="M3:M14" si="5">+K3*L3</f>
        <v>450000</v>
      </c>
    </row>
    <row r="4" spans="2:13" hidden="1">
      <c r="B4" s="412" t="s">
        <v>480</v>
      </c>
      <c r="E4">
        <f t="shared" si="0"/>
        <v>0</v>
      </c>
      <c r="F4">
        <f>+'16.Facility 5 Agri Input'!C132</f>
        <v>0</v>
      </c>
      <c r="G4">
        <f t="shared" si="1"/>
        <v>0</v>
      </c>
      <c r="I4">
        <f t="shared" si="2"/>
        <v>0</v>
      </c>
      <c r="J4">
        <f t="shared" si="3"/>
        <v>0</v>
      </c>
      <c r="K4">
        <f t="shared" si="4"/>
        <v>0</v>
      </c>
      <c r="L4">
        <f>+'16.Facility 5 Agri Input'!C199</f>
        <v>0</v>
      </c>
      <c r="M4">
        <f t="shared" si="5"/>
        <v>0</v>
      </c>
    </row>
    <row r="5" spans="2:13" hidden="1">
      <c r="B5" s="412" t="s">
        <v>478</v>
      </c>
      <c r="E5">
        <f t="shared" si="0"/>
        <v>0</v>
      </c>
      <c r="F5">
        <f>+'16.Facility 5 Agri Input'!C133</f>
        <v>82</v>
      </c>
      <c r="G5">
        <f t="shared" si="1"/>
        <v>0</v>
      </c>
      <c r="I5">
        <f t="shared" si="2"/>
        <v>0</v>
      </c>
      <c r="J5">
        <f t="shared" si="3"/>
        <v>0</v>
      </c>
      <c r="K5">
        <f t="shared" si="4"/>
        <v>0</v>
      </c>
      <c r="L5">
        <f>+'16.Facility 5 Agri Input'!C200</f>
        <v>80</v>
      </c>
      <c r="M5">
        <f t="shared" si="5"/>
        <v>0</v>
      </c>
    </row>
    <row r="6" spans="2:13">
      <c r="B6" s="412" t="s">
        <v>400</v>
      </c>
      <c r="C6">
        <v>500</v>
      </c>
      <c r="D6">
        <f>+'16.Facility 5 Agri Input'!C66</f>
        <v>25</v>
      </c>
      <c r="E6">
        <f t="shared" si="0"/>
        <v>12500</v>
      </c>
      <c r="F6">
        <f>+'16.Facility 5 Agri Input'!C134</f>
        <v>30</v>
      </c>
      <c r="G6">
        <f t="shared" si="1"/>
        <v>375000</v>
      </c>
      <c r="I6">
        <f t="shared" si="2"/>
        <v>500</v>
      </c>
      <c r="J6">
        <f t="shared" si="3"/>
        <v>25</v>
      </c>
      <c r="K6">
        <f t="shared" si="4"/>
        <v>12500</v>
      </c>
      <c r="L6">
        <f>+'16.Facility 5 Agri Input'!C201</f>
        <v>25</v>
      </c>
      <c r="M6">
        <f t="shared" si="5"/>
        <v>312500</v>
      </c>
    </row>
    <row r="7" spans="2:13" hidden="1">
      <c r="B7" s="412" t="s">
        <v>479</v>
      </c>
      <c r="E7">
        <f t="shared" si="0"/>
        <v>0</v>
      </c>
      <c r="F7">
        <f>+'16.Facility 5 Agri Input'!C135</f>
        <v>75</v>
      </c>
      <c r="G7">
        <f t="shared" si="1"/>
        <v>0</v>
      </c>
      <c r="I7">
        <f t="shared" si="2"/>
        <v>0</v>
      </c>
      <c r="J7">
        <f t="shared" si="3"/>
        <v>0</v>
      </c>
      <c r="K7">
        <f t="shared" si="4"/>
        <v>0</v>
      </c>
      <c r="L7">
        <f>+'16.Facility 5 Agri Input'!C202</f>
        <v>70</v>
      </c>
      <c r="M7">
        <f t="shared" si="5"/>
        <v>0</v>
      </c>
    </row>
    <row r="8" spans="2:13">
      <c r="B8" s="412" t="s">
        <v>472</v>
      </c>
      <c r="C8">
        <v>1200</v>
      </c>
      <c r="D8">
        <f>+'16.Facility 5 Agri Input'!C68</f>
        <v>5</v>
      </c>
      <c r="E8">
        <f t="shared" si="0"/>
        <v>6000</v>
      </c>
      <c r="F8">
        <f>+'16.Facility 5 Agri Input'!C136</f>
        <v>27</v>
      </c>
      <c r="G8">
        <f t="shared" si="1"/>
        <v>162000</v>
      </c>
      <c r="I8">
        <f t="shared" si="2"/>
        <v>1200</v>
      </c>
      <c r="J8">
        <f t="shared" si="3"/>
        <v>5</v>
      </c>
      <c r="K8">
        <f t="shared" si="4"/>
        <v>6000</v>
      </c>
      <c r="L8">
        <f>+'16.Facility 5 Agri Input'!C203</f>
        <v>25</v>
      </c>
      <c r="M8">
        <f t="shared" si="5"/>
        <v>150000</v>
      </c>
    </row>
    <row r="9" spans="2:13" hidden="1">
      <c r="B9" s="412" t="s">
        <v>404</v>
      </c>
      <c r="E9">
        <f t="shared" si="0"/>
        <v>0</v>
      </c>
      <c r="F9">
        <f>+'16.Facility 5 Agri Input'!C137</f>
        <v>27</v>
      </c>
      <c r="G9">
        <f t="shared" si="1"/>
        <v>0</v>
      </c>
      <c r="I9">
        <f t="shared" si="2"/>
        <v>0</v>
      </c>
      <c r="J9">
        <f t="shared" si="3"/>
        <v>0</v>
      </c>
      <c r="K9">
        <f t="shared" si="4"/>
        <v>0</v>
      </c>
      <c r="L9">
        <f>+'16.Facility 5 Agri Input'!C204</f>
        <v>25</v>
      </c>
      <c r="M9">
        <f t="shared" si="5"/>
        <v>0</v>
      </c>
    </row>
    <row r="10" spans="2:13" hidden="1">
      <c r="B10" s="414" t="s">
        <v>182</v>
      </c>
      <c r="E10">
        <f t="shared" si="0"/>
        <v>0</v>
      </c>
      <c r="F10">
        <f>+'16.Facility 5 Agri Input'!C138</f>
        <v>0</v>
      </c>
      <c r="G10">
        <f t="shared" si="1"/>
        <v>0</v>
      </c>
      <c r="I10">
        <f t="shared" si="2"/>
        <v>0</v>
      </c>
      <c r="J10">
        <f t="shared" si="3"/>
        <v>0</v>
      </c>
      <c r="K10">
        <f t="shared" si="4"/>
        <v>0</v>
      </c>
      <c r="L10">
        <f>+'16.Facility 5 Agri Input'!C205</f>
        <v>0</v>
      </c>
      <c r="M10">
        <f t="shared" si="5"/>
        <v>0</v>
      </c>
    </row>
    <row r="11" spans="2:13">
      <c r="B11" s="412" t="s">
        <v>402</v>
      </c>
      <c r="C11">
        <v>2500</v>
      </c>
      <c r="D11">
        <f>+'16.Facility 5 Agri Input'!C71</f>
        <v>20</v>
      </c>
      <c r="E11">
        <f t="shared" si="0"/>
        <v>50000</v>
      </c>
      <c r="F11">
        <f>+'16.Facility 5 Agri Input'!C139</f>
        <v>36</v>
      </c>
      <c r="G11">
        <f t="shared" si="1"/>
        <v>1800000</v>
      </c>
      <c r="I11">
        <f t="shared" si="2"/>
        <v>2500</v>
      </c>
      <c r="J11">
        <f t="shared" si="3"/>
        <v>20</v>
      </c>
      <c r="K11">
        <f t="shared" si="4"/>
        <v>50000</v>
      </c>
      <c r="L11">
        <f>+'16.Facility 5 Agri Input'!C206</f>
        <v>35</v>
      </c>
      <c r="M11">
        <f t="shared" si="5"/>
        <v>1750000</v>
      </c>
    </row>
    <row r="12" spans="2:13">
      <c r="B12" s="412" t="s">
        <v>403</v>
      </c>
      <c r="C12">
        <v>1300</v>
      </c>
      <c r="D12">
        <f>+'16.Facility 5 Agri Input'!C72</f>
        <v>25</v>
      </c>
      <c r="E12">
        <f t="shared" si="0"/>
        <v>32500</v>
      </c>
      <c r="F12">
        <f>+'16.Facility 5 Agri Input'!C140</f>
        <v>72</v>
      </c>
      <c r="G12">
        <f t="shared" si="1"/>
        <v>2340000</v>
      </c>
      <c r="I12">
        <f t="shared" si="2"/>
        <v>1300</v>
      </c>
      <c r="J12">
        <f t="shared" si="3"/>
        <v>25</v>
      </c>
      <c r="K12">
        <f t="shared" si="4"/>
        <v>32500</v>
      </c>
      <c r="L12">
        <f>+'16.Facility 5 Agri Input'!C207</f>
        <v>70</v>
      </c>
      <c r="M12">
        <f t="shared" si="5"/>
        <v>2275000</v>
      </c>
    </row>
    <row r="13" spans="2:13">
      <c r="B13" s="412" t="s">
        <v>404</v>
      </c>
      <c r="C13">
        <v>500</v>
      </c>
      <c r="D13">
        <f>+'16.Facility 5 Agri Input'!C73</f>
        <v>5</v>
      </c>
      <c r="E13">
        <f t="shared" si="0"/>
        <v>2500</v>
      </c>
      <c r="F13">
        <f>+'16.Facility 5 Agri Input'!C141</f>
        <v>27</v>
      </c>
      <c r="G13">
        <f t="shared" si="1"/>
        <v>67500</v>
      </c>
      <c r="I13">
        <f t="shared" si="2"/>
        <v>500</v>
      </c>
      <c r="J13">
        <f t="shared" si="3"/>
        <v>5</v>
      </c>
      <c r="K13">
        <f t="shared" si="4"/>
        <v>2500</v>
      </c>
      <c r="L13">
        <f>+'16.Facility 5 Agri Input'!C208</f>
        <v>25</v>
      </c>
      <c r="M13">
        <f t="shared" si="5"/>
        <v>62500</v>
      </c>
    </row>
    <row r="14" spans="2:13" hidden="1">
      <c r="B14" s="412" t="s">
        <v>400</v>
      </c>
      <c r="E14">
        <f t="shared" si="0"/>
        <v>0</v>
      </c>
      <c r="F14">
        <f>+'16.Facility 5 Agri Input'!C142</f>
        <v>27</v>
      </c>
      <c r="G14">
        <f t="shared" si="1"/>
        <v>0</v>
      </c>
      <c r="I14">
        <f t="shared" si="2"/>
        <v>0</v>
      </c>
      <c r="J14">
        <f t="shared" si="3"/>
        <v>0</v>
      </c>
      <c r="K14">
        <f t="shared" si="4"/>
        <v>0</v>
      </c>
      <c r="L14">
        <f>+'16.Facility 5 Agri Input'!C209</f>
        <v>25</v>
      </c>
      <c r="M14">
        <f t="shared" si="5"/>
        <v>0</v>
      </c>
    </row>
    <row r="15" spans="2:13">
      <c r="C15">
        <f>SUM(C2:C14)</f>
        <v>7800</v>
      </c>
      <c r="G15" s="5">
        <f>SUM(G2:G14)</f>
        <v>7120500</v>
      </c>
      <c r="H15" s="5"/>
      <c r="I15" s="5"/>
      <c r="K15" s="5">
        <f>SUM(K2:K14)</f>
        <v>133500</v>
      </c>
      <c r="M15" s="5">
        <f>SUM(M2:M14)</f>
        <v>6872000</v>
      </c>
    </row>
    <row r="17" spans="2:13">
      <c r="B17" s="414" t="s">
        <v>185</v>
      </c>
    </row>
    <row r="18" spans="2:13">
      <c r="B18" s="412" t="s">
        <v>408</v>
      </c>
      <c r="C18">
        <f>+C15</f>
        <v>7800</v>
      </c>
      <c r="D18">
        <f>+'16.Facility 5 Agri Input'!C114</f>
        <v>100</v>
      </c>
      <c r="E18">
        <f t="shared" ref="E18:E23" si="6">+C18*D18</f>
        <v>780000</v>
      </c>
      <c r="F18">
        <f>+'16.Facility 5 Agri Input'!C182</f>
        <v>7</v>
      </c>
      <c r="G18">
        <f t="shared" ref="G18:G23" si="7">+E18*F18</f>
        <v>5460000</v>
      </c>
      <c r="I18">
        <f t="shared" ref="I18:K20" si="8">+C18</f>
        <v>7800</v>
      </c>
      <c r="J18">
        <f t="shared" si="8"/>
        <v>100</v>
      </c>
      <c r="K18">
        <f t="shared" si="8"/>
        <v>780000</v>
      </c>
      <c r="L18">
        <f>+'16.Facility 5 Agri Input'!C245</f>
        <v>6</v>
      </c>
      <c r="M18">
        <f t="shared" ref="M18:M23" si="9">+K18*L18</f>
        <v>4680000</v>
      </c>
    </row>
    <row r="19" spans="2:13">
      <c r="B19" s="412" t="s">
        <v>179</v>
      </c>
      <c r="C19">
        <f>+C18</f>
        <v>7800</v>
      </c>
      <c r="D19">
        <f>+'16.Facility 5 Agri Input'!C115</f>
        <v>30</v>
      </c>
      <c r="E19">
        <f t="shared" si="6"/>
        <v>234000</v>
      </c>
      <c r="F19">
        <f>+'16.Facility 5 Agri Input'!C183</f>
        <v>7.5</v>
      </c>
      <c r="G19">
        <f t="shared" si="7"/>
        <v>1755000</v>
      </c>
      <c r="I19">
        <f t="shared" si="8"/>
        <v>7800</v>
      </c>
      <c r="J19">
        <f t="shared" si="8"/>
        <v>30</v>
      </c>
      <c r="K19">
        <f t="shared" si="8"/>
        <v>234000</v>
      </c>
      <c r="L19">
        <f>+'16.Facility 5 Agri Input'!C246</f>
        <v>5</v>
      </c>
      <c r="M19">
        <f t="shared" si="9"/>
        <v>1170000</v>
      </c>
    </row>
    <row r="20" spans="2:13">
      <c r="B20" s="412" t="s">
        <v>181</v>
      </c>
      <c r="C20">
        <f>+C19</f>
        <v>7800</v>
      </c>
      <c r="D20">
        <f>+'16.Facility 5 Agri Input'!C116</f>
        <v>30</v>
      </c>
      <c r="E20">
        <f t="shared" si="6"/>
        <v>234000</v>
      </c>
      <c r="F20">
        <f>+'16.Facility 5 Agri Input'!C184</f>
        <v>28</v>
      </c>
      <c r="G20">
        <f t="shared" si="7"/>
        <v>6552000</v>
      </c>
      <c r="I20">
        <f t="shared" si="8"/>
        <v>7800</v>
      </c>
      <c r="J20">
        <f t="shared" si="8"/>
        <v>30</v>
      </c>
      <c r="K20">
        <f t="shared" si="8"/>
        <v>234000</v>
      </c>
      <c r="L20">
        <f>+'16.Facility 5 Agri Input'!C247</f>
        <v>27</v>
      </c>
      <c r="M20">
        <f t="shared" si="9"/>
        <v>6318000</v>
      </c>
    </row>
    <row r="21" spans="2:13" hidden="1">
      <c r="B21" s="414" t="s">
        <v>180</v>
      </c>
      <c r="E21">
        <f t="shared" si="6"/>
        <v>0</v>
      </c>
      <c r="G21">
        <f t="shared" si="7"/>
        <v>0</v>
      </c>
      <c r="I21">
        <f t="shared" ref="I21:J23" si="10">+C21</f>
        <v>0</v>
      </c>
      <c r="J21">
        <f t="shared" si="10"/>
        <v>0</v>
      </c>
      <c r="M21">
        <f t="shared" si="9"/>
        <v>0</v>
      </c>
    </row>
    <row r="22" spans="2:13">
      <c r="B22" s="412" t="s">
        <v>186</v>
      </c>
      <c r="C22">
        <f>+C20</f>
        <v>7800</v>
      </c>
      <c r="D22">
        <f>+'16.Facility 5 Agri Input'!C118</f>
        <v>0.2</v>
      </c>
      <c r="E22">
        <f t="shared" si="6"/>
        <v>1560</v>
      </c>
      <c r="F22">
        <f>+'16.Facility 5 Agri Input'!C187</f>
        <v>2900</v>
      </c>
      <c r="G22">
        <f t="shared" si="7"/>
        <v>4524000</v>
      </c>
      <c r="I22">
        <f t="shared" si="10"/>
        <v>7800</v>
      </c>
      <c r="J22">
        <f t="shared" si="10"/>
        <v>0.2</v>
      </c>
      <c r="K22">
        <f>+E22</f>
        <v>1560</v>
      </c>
      <c r="L22">
        <f>+'16.Facility 5 Agri Input'!C250</f>
        <v>2800</v>
      </c>
      <c r="M22">
        <f t="shared" si="9"/>
        <v>4368000</v>
      </c>
    </row>
    <row r="23" spans="2:13">
      <c r="B23" s="412" t="s">
        <v>187</v>
      </c>
      <c r="C23">
        <f>+C22</f>
        <v>7800</v>
      </c>
      <c r="D23">
        <f>+'16.Facility 5 Agri Input'!C119</f>
        <v>0.5</v>
      </c>
      <c r="E23">
        <f t="shared" si="6"/>
        <v>3900</v>
      </c>
      <c r="F23">
        <f>+'16.Facility 5 Agri Input'!C188</f>
        <v>2100</v>
      </c>
      <c r="G23">
        <f t="shared" si="7"/>
        <v>8190000</v>
      </c>
      <c r="I23">
        <f t="shared" si="10"/>
        <v>7800</v>
      </c>
      <c r="J23">
        <f t="shared" si="10"/>
        <v>0.5</v>
      </c>
      <c r="K23">
        <f>+E23</f>
        <v>3900</v>
      </c>
      <c r="L23">
        <f>+'16.Facility 5 Agri Input'!C251</f>
        <v>2000</v>
      </c>
      <c r="M23">
        <f t="shared" si="9"/>
        <v>7800000</v>
      </c>
    </row>
    <row r="24" spans="2:13">
      <c r="G24" s="5">
        <f>SUM(G18:G23)</f>
        <v>26481000</v>
      </c>
      <c r="H24" s="5"/>
      <c r="I24" s="5"/>
      <c r="K24" s="5">
        <f>SUM(K18:K23)</f>
        <v>1253460</v>
      </c>
      <c r="M24" s="5">
        <f>SUM(M18:M23)</f>
        <v>24336000</v>
      </c>
    </row>
    <row r="26" spans="2:13">
      <c r="B26" t="s">
        <v>1638</v>
      </c>
      <c r="K26">
        <v>1400</v>
      </c>
      <c r="L26">
        <v>200</v>
      </c>
      <c r="M26">
        <f>+K26*L26</f>
        <v>280000</v>
      </c>
    </row>
    <row r="27" spans="2:13">
      <c r="B27" t="s">
        <v>1639</v>
      </c>
      <c r="K27">
        <f>+K26</f>
        <v>1400</v>
      </c>
      <c r="L27">
        <v>1000</v>
      </c>
      <c r="M27">
        <f>+K27*L27</f>
        <v>1400000</v>
      </c>
    </row>
    <row r="28" spans="2:13">
      <c r="M28" s="5">
        <f>SUM(M26:M27)</f>
        <v>1680000</v>
      </c>
    </row>
    <row r="30" spans="2:13">
      <c r="B30" t="s">
        <v>1640</v>
      </c>
      <c r="M30" s="5">
        <f>+M15+M24+M28</f>
        <v>32888000</v>
      </c>
    </row>
    <row r="31" spans="2:13">
      <c r="B31" s="5" t="s">
        <v>1641</v>
      </c>
    </row>
    <row r="32" spans="2:13">
      <c r="B32" s="69" t="s">
        <v>330</v>
      </c>
      <c r="K32">
        <f>+'16.Facility 5 Agri Input'!B265</f>
        <v>0</v>
      </c>
      <c r="L32">
        <f>+'16.Facility 5 Agri Input'!C265</f>
        <v>0</v>
      </c>
      <c r="M32">
        <f>+K32*L32</f>
        <v>0</v>
      </c>
    </row>
    <row r="33" spans="2:13">
      <c r="B33" s="69" t="s">
        <v>331</v>
      </c>
      <c r="K33">
        <f>+'16.Facility 5 Agri Input'!B266</f>
        <v>0</v>
      </c>
      <c r="L33">
        <f>+'16.Facility 5 Agri Input'!C266</f>
        <v>0</v>
      </c>
      <c r="M33">
        <f>+L33*12</f>
        <v>0</v>
      </c>
    </row>
    <row r="34" spans="2:13">
      <c r="B34" s="69" t="s">
        <v>193</v>
      </c>
      <c r="K34">
        <f>+'16.Facility 5 Agri Input'!B267</f>
        <v>0</v>
      </c>
      <c r="L34">
        <f>+'16.Facility 5 Agri Input'!C267</f>
        <v>0</v>
      </c>
      <c r="M34">
        <f>+L34*12</f>
        <v>0</v>
      </c>
    </row>
    <row r="35" spans="2:13">
      <c r="B35" s="69" t="s">
        <v>332</v>
      </c>
      <c r="K35">
        <f>+'16.Facility 5 Agri Input'!B268</f>
        <v>0</v>
      </c>
      <c r="L35">
        <f>+'16.Facility 5 Agri Input'!C268</f>
        <v>0</v>
      </c>
      <c r="M35">
        <f>+K35*L35</f>
        <v>0</v>
      </c>
    </row>
    <row r="36" spans="2:13">
      <c r="K36">
        <f>+'16.Facility 5 Agri Input'!B269</f>
        <v>0</v>
      </c>
      <c r="L36">
        <f>+'16.Facility 5 Agri Input'!D269</f>
        <v>0</v>
      </c>
      <c r="M36" s="5">
        <f>SUM(M32:M35)</f>
        <v>0</v>
      </c>
    </row>
    <row r="38" spans="2:13">
      <c r="G38">
        <f>+G24+G15+G28+G36</f>
        <v>33601500</v>
      </c>
      <c r="M38">
        <f>+M24+M15+M28+M36</f>
        <v>32888000</v>
      </c>
    </row>
    <row r="39" spans="2:13">
      <c r="M39">
        <f>+G38-M38</f>
        <v>713500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84"/>
  <sheetViews>
    <sheetView showGridLines="0" view="pageBreakPreview" topLeftCell="A191" zoomScale="70" zoomScaleSheetLayoutView="70" workbookViewId="0">
      <selection activeCell="C193" sqref="C193"/>
    </sheetView>
  </sheetViews>
  <sheetFormatPr defaultRowHeight="15"/>
  <cols>
    <col min="1" max="1" width="41.140625" bestFit="1" customWidth="1"/>
    <col min="2" max="2" width="4.42578125" bestFit="1" customWidth="1"/>
    <col min="3" max="3" width="12.85546875" customWidth="1"/>
    <col min="4" max="4" width="16.7109375" customWidth="1"/>
    <col min="5" max="5" width="19.5703125" bestFit="1" customWidth="1"/>
    <col min="6" max="6" width="16.28515625" customWidth="1"/>
    <col min="7" max="9" width="17.7109375" customWidth="1"/>
    <col min="10" max="10" width="18.28515625" customWidth="1"/>
    <col min="11" max="11" width="12.7109375" customWidth="1"/>
    <col min="12" max="12" width="27.140625" bestFit="1" customWidth="1"/>
    <col min="18" max="20" width="9.42578125" bestFit="1" customWidth="1"/>
    <col min="22" max="22" width="9.42578125" bestFit="1" customWidth="1"/>
  </cols>
  <sheetData>
    <row r="2" spans="1:10" ht="18.75">
      <c r="A2" s="724" t="s">
        <v>2006</v>
      </c>
      <c r="B2" s="724"/>
      <c r="C2" s="724"/>
      <c r="D2" s="724"/>
      <c r="E2" s="724"/>
      <c r="F2" s="724"/>
      <c r="G2" s="724"/>
      <c r="H2" s="724"/>
      <c r="I2" s="724"/>
      <c r="J2" s="724"/>
    </row>
    <row r="3" spans="1:10">
      <c r="A3" s="1073" t="s">
        <v>2007</v>
      </c>
      <c r="B3" s="1073"/>
      <c r="C3" s="1073"/>
      <c r="D3" s="1073"/>
      <c r="E3" s="1073"/>
      <c r="F3" s="1073"/>
      <c r="G3" s="1073"/>
      <c r="H3" s="1073"/>
      <c r="I3" s="1073"/>
      <c r="J3" s="1073"/>
    </row>
    <row r="4" spans="1:10" hidden="1">
      <c r="A4" s="68"/>
      <c r="B4" s="68"/>
      <c r="C4" s="68"/>
      <c r="D4" s="68"/>
      <c r="E4" s="68"/>
      <c r="F4" s="68"/>
      <c r="G4" s="68"/>
      <c r="H4" s="68"/>
      <c r="I4" s="68"/>
    </row>
    <row r="5" spans="1:10" hidden="1">
      <c r="A5" s="68"/>
      <c r="B5" s="68"/>
      <c r="C5" s="68"/>
      <c r="D5" s="68"/>
      <c r="E5" s="68"/>
      <c r="F5" s="68"/>
      <c r="G5" s="68"/>
      <c r="H5" s="68"/>
      <c r="I5" s="68"/>
    </row>
    <row r="6" spans="1:10">
      <c r="A6" s="433" t="s">
        <v>127</v>
      </c>
      <c r="B6" s="435"/>
      <c r="C6" s="119"/>
      <c r="D6" s="91" t="s">
        <v>2</v>
      </c>
      <c r="E6" s="91" t="s">
        <v>3</v>
      </c>
      <c r="F6" s="91" t="s">
        <v>4</v>
      </c>
      <c r="G6" s="91" t="s">
        <v>5</v>
      </c>
      <c r="H6" s="91" t="s">
        <v>6</v>
      </c>
      <c r="I6" s="91" t="s">
        <v>170</v>
      </c>
      <c r="J6" s="91" t="s">
        <v>169</v>
      </c>
    </row>
    <row r="7" spans="1:10">
      <c r="A7" s="414" t="s">
        <v>546</v>
      </c>
      <c r="B7" s="417"/>
      <c r="C7" s="69"/>
      <c r="D7" s="69"/>
      <c r="E7" s="69"/>
      <c r="F7" s="69"/>
      <c r="G7" s="69"/>
      <c r="H7" s="69"/>
      <c r="I7" s="69"/>
      <c r="J7" s="69"/>
    </row>
    <row r="8" spans="1:10">
      <c r="A8" s="414" t="s">
        <v>178</v>
      </c>
      <c r="B8" s="417"/>
      <c r="C8" s="165"/>
      <c r="D8" s="165"/>
      <c r="E8" s="165"/>
      <c r="F8" s="165"/>
      <c r="G8" s="165"/>
      <c r="H8" s="165"/>
      <c r="I8" s="165"/>
      <c r="J8" s="165"/>
    </row>
    <row r="9" spans="1:10">
      <c r="A9" s="412" t="str">
        <f>'10.Grain Production details'!A92</f>
        <v>Soybean</v>
      </c>
      <c r="B9" s="415"/>
      <c r="C9" s="165"/>
      <c r="D9" s="165">
        <f>'10.Grain Production details'!B92</f>
        <v>0</v>
      </c>
      <c r="E9" s="165">
        <f>'10.Grain Production details'!C92</f>
        <v>0</v>
      </c>
      <c r="F9" s="165">
        <f>'10.Grain Production details'!D92</f>
        <v>0</v>
      </c>
      <c r="G9" s="165">
        <f>'10.Grain Production details'!E92</f>
        <v>0</v>
      </c>
      <c r="H9" s="165">
        <f>'10.Grain Production details'!F92</f>
        <v>0</v>
      </c>
      <c r="I9" s="165">
        <f>'10.Grain Production details'!G92</f>
        <v>0</v>
      </c>
      <c r="J9" s="165">
        <f>'10.Grain Production details'!H92</f>
        <v>0</v>
      </c>
    </row>
    <row r="10" spans="1:10">
      <c r="A10" s="412" t="str">
        <f>'10.Grain Production details'!A93</f>
        <v>Red Gram/Tur</v>
      </c>
      <c r="B10" s="415"/>
      <c r="C10" s="165"/>
      <c r="D10" s="165">
        <f>'10.Grain Production details'!B93</f>
        <v>0</v>
      </c>
      <c r="E10" s="165">
        <f>'10.Grain Production details'!C93</f>
        <v>0</v>
      </c>
      <c r="F10" s="165">
        <f>'10.Grain Production details'!D93</f>
        <v>0</v>
      </c>
      <c r="G10" s="165">
        <f>'10.Grain Production details'!E93</f>
        <v>0</v>
      </c>
      <c r="H10" s="165">
        <f>'10.Grain Production details'!F93</f>
        <v>0</v>
      </c>
      <c r="I10" s="165">
        <f>'10.Grain Production details'!G93</f>
        <v>0</v>
      </c>
      <c r="J10" s="165">
        <f>'10.Grain Production details'!H93</f>
        <v>0</v>
      </c>
    </row>
    <row r="11" spans="1:10">
      <c r="A11" s="412" t="str">
        <f>'10.Grain Production details'!A94</f>
        <v>Paddy/Rice</v>
      </c>
      <c r="B11" s="415"/>
      <c r="C11" s="165"/>
      <c r="D11" s="165">
        <f>'10.Grain Production details'!B94</f>
        <v>0</v>
      </c>
      <c r="E11" s="165">
        <f>'10.Grain Production details'!C94</f>
        <v>0</v>
      </c>
      <c r="F11" s="165">
        <f>'10.Grain Production details'!D94</f>
        <v>0</v>
      </c>
      <c r="G11" s="165">
        <f>'10.Grain Production details'!E94</f>
        <v>0</v>
      </c>
      <c r="H11" s="165">
        <f>'10.Grain Production details'!F94</f>
        <v>0</v>
      </c>
      <c r="I11" s="165">
        <f>'10.Grain Production details'!G94</f>
        <v>0</v>
      </c>
      <c r="J11" s="165">
        <f>'10.Grain Production details'!H94</f>
        <v>0</v>
      </c>
    </row>
    <row r="12" spans="1:10">
      <c r="A12" s="412" t="str">
        <f>'10.Grain Production details'!A95</f>
        <v>Green Gram/ Moong</v>
      </c>
      <c r="B12" s="415"/>
      <c r="C12" s="165"/>
      <c r="D12" s="165">
        <f>'10.Grain Production details'!B95</f>
        <v>0</v>
      </c>
      <c r="E12" s="165">
        <f>'10.Grain Production details'!C95</f>
        <v>0</v>
      </c>
      <c r="F12" s="165">
        <f>'10.Grain Production details'!D95</f>
        <v>0</v>
      </c>
      <c r="G12" s="165">
        <f>'10.Grain Production details'!E95</f>
        <v>0</v>
      </c>
      <c r="H12" s="165">
        <f>'10.Grain Production details'!F95</f>
        <v>0</v>
      </c>
      <c r="I12" s="165">
        <f>'10.Grain Production details'!G95</f>
        <v>0</v>
      </c>
      <c r="J12" s="165">
        <f>'10.Grain Production details'!H95</f>
        <v>0</v>
      </c>
    </row>
    <row r="13" spans="1:10">
      <c r="A13" s="412" t="str">
        <f>'10.Grain Production details'!A96</f>
        <v>Maize</v>
      </c>
      <c r="B13" s="415"/>
      <c r="C13" s="165"/>
      <c r="D13" s="165">
        <f>'10.Grain Production details'!B96</f>
        <v>0</v>
      </c>
      <c r="E13" s="165">
        <f>'10.Grain Production details'!C96</f>
        <v>0</v>
      </c>
      <c r="F13" s="165">
        <f>'10.Grain Production details'!D96</f>
        <v>0</v>
      </c>
      <c r="G13" s="165">
        <f>'10.Grain Production details'!E96</f>
        <v>0</v>
      </c>
      <c r="H13" s="165">
        <f>'10.Grain Production details'!F96</f>
        <v>0</v>
      </c>
      <c r="I13" s="165">
        <f>'10.Grain Production details'!G96</f>
        <v>0</v>
      </c>
      <c r="J13" s="165">
        <f>'10.Grain Production details'!H96</f>
        <v>0</v>
      </c>
    </row>
    <row r="14" spans="1:10">
      <c r="A14" s="412" t="str">
        <f>'10.Grain Production details'!A97</f>
        <v>Black Gram/Udid</v>
      </c>
      <c r="B14" s="415"/>
      <c r="C14" s="165"/>
      <c r="D14" s="165">
        <f>'10.Grain Production details'!B97</f>
        <v>0</v>
      </c>
      <c r="E14" s="165">
        <f>'10.Grain Production details'!C97</f>
        <v>0</v>
      </c>
      <c r="F14" s="165">
        <f>'10.Grain Production details'!D97</f>
        <v>0</v>
      </c>
      <c r="G14" s="165">
        <f>'10.Grain Production details'!E97</f>
        <v>0</v>
      </c>
      <c r="H14" s="165">
        <f>'10.Grain Production details'!F97</f>
        <v>0</v>
      </c>
      <c r="I14" s="165">
        <f>'10.Grain Production details'!G97</f>
        <v>0</v>
      </c>
      <c r="J14" s="165">
        <f>'10.Grain Production details'!H97</f>
        <v>0</v>
      </c>
    </row>
    <row r="15" spans="1:10">
      <c r="A15" s="412" t="str">
        <f>'10.Grain Production details'!A98</f>
        <v>Bajra</v>
      </c>
      <c r="B15" s="415"/>
      <c r="C15" s="165"/>
      <c r="D15" s="165">
        <f>'10.Grain Production details'!B98</f>
        <v>0</v>
      </c>
      <c r="E15" s="165">
        <f>'10.Grain Production details'!C98</f>
        <v>0</v>
      </c>
      <c r="F15" s="165">
        <f>'10.Grain Production details'!D98</f>
        <v>0</v>
      </c>
      <c r="G15" s="165">
        <f>'10.Grain Production details'!E98</f>
        <v>0</v>
      </c>
      <c r="H15" s="165">
        <f>'10.Grain Production details'!F98</f>
        <v>0</v>
      </c>
      <c r="I15" s="165">
        <f>'10.Grain Production details'!G98</f>
        <v>0</v>
      </c>
      <c r="J15" s="165">
        <f>'10.Grain Production details'!H98</f>
        <v>0</v>
      </c>
    </row>
    <row r="16" spans="1:10">
      <c r="A16" s="412" t="str">
        <f>'10.Grain Production details'!A99</f>
        <v>Jawar</v>
      </c>
      <c r="B16" s="415"/>
      <c r="C16" s="165"/>
      <c r="D16" s="165">
        <f>'10.Grain Production details'!B99</f>
        <v>0</v>
      </c>
      <c r="E16" s="165">
        <f>'10.Grain Production details'!C99</f>
        <v>0</v>
      </c>
      <c r="F16" s="165">
        <f>'10.Grain Production details'!D99</f>
        <v>0</v>
      </c>
      <c r="G16" s="165">
        <f>'10.Grain Production details'!E99</f>
        <v>0</v>
      </c>
      <c r="H16" s="165">
        <f>'10.Grain Production details'!F99</f>
        <v>0</v>
      </c>
      <c r="I16" s="165">
        <f>'10.Grain Production details'!G99</f>
        <v>0</v>
      </c>
      <c r="J16" s="165">
        <f>'10.Grain Production details'!H99</f>
        <v>0</v>
      </c>
    </row>
    <row r="17" spans="1:10">
      <c r="A17" s="414" t="s">
        <v>182</v>
      </c>
      <c r="B17" s="417"/>
      <c r="C17" s="165"/>
      <c r="D17" s="165"/>
      <c r="E17" s="165"/>
      <c r="F17" s="165"/>
      <c r="G17" s="165"/>
      <c r="H17" s="165"/>
      <c r="I17" s="165"/>
      <c r="J17" s="165"/>
    </row>
    <row r="18" spans="1:10">
      <c r="A18" s="412" t="str">
        <f>'10.Grain Production details'!A101</f>
        <v>Wheat</v>
      </c>
      <c r="B18" s="415"/>
      <c r="C18" s="165"/>
      <c r="D18" s="165">
        <f>'10.Grain Production details'!B101</f>
        <v>0</v>
      </c>
      <c r="E18" s="165">
        <f>'10.Grain Production details'!C101</f>
        <v>0</v>
      </c>
      <c r="F18" s="165">
        <f>'10.Grain Production details'!D101</f>
        <v>0</v>
      </c>
      <c r="G18" s="165">
        <f>'10.Grain Production details'!E101</f>
        <v>0</v>
      </c>
      <c r="H18" s="165">
        <f>'10.Grain Production details'!F101</f>
        <v>0</v>
      </c>
      <c r="I18" s="165">
        <f>'10.Grain Production details'!G101</f>
        <v>0</v>
      </c>
      <c r="J18" s="165">
        <f>'10.Grain Production details'!H101</f>
        <v>0</v>
      </c>
    </row>
    <row r="19" spans="1:10">
      <c r="A19" s="412" t="str">
        <f>'10.Grain Production details'!A102</f>
        <v>Bengal Gram/Channa</v>
      </c>
      <c r="B19" s="415"/>
      <c r="C19" s="165"/>
      <c r="D19" s="165">
        <f>'10.Grain Production details'!B102</f>
        <v>0</v>
      </c>
      <c r="E19" s="165">
        <f>'10.Grain Production details'!C102</f>
        <v>0</v>
      </c>
      <c r="F19" s="165">
        <f>'10.Grain Production details'!D102</f>
        <v>0</v>
      </c>
      <c r="G19" s="165">
        <f>'10.Grain Production details'!E102</f>
        <v>0</v>
      </c>
      <c r="H19" s="165">
        <f>'10.Grain Production details'!F102</f>
        <v>0</v>
      </c>
      <c r="I19" s="165">
        <f>'10.Grain Production details'!G102</f>
        <v>0</v>
      </c>
      <c r="J19" s="165">
        <f>'10.Grain Production details'!H102</f>
        <v>0</v>
      </c>
    </row>
    <row r="20" spans="1:10">
      <c r="A20" s="412" t="str">
        <f>'10.Grain Production details'!A103</f>
        <v>Jawar</v>
      </c>
      <c r="B20" s="415"/>
      <c r="C20" s="165"/>
      <c r="D20" s="165">
        <f>'10.Grain Production details'!B103</f>
        <v>0</v>
      </c>
      <c r="E20" s="165">
        <f>'10.Grain Production details'!C103</f>
        <v>0</v>
      </c>
      <c r="F20" s="165">
        <f>'10.Grain Production details'!D103</f>
        <v>0</v>
      </c>
      <c r="G20" s="165">
        <f>'10.Grain Production details'!E103</f>
        <v>0</v>
      </c>
      <c r="H20" s="165">
        <f>'10.Grain Production details'!F103</f>
        <v>0</v>
      </c>
      <c r="I20" s="165">
        <f>'10.Grain Production details'!G103</f>
        <v>0</v>
      </c>
      <c r="J20" s="165">
        <f>'10.Grain Production details'!H103</f>
        <v>0</v>
      </c>
    </row>
    <row r="21" spans="1:10">
      <c r="A21" s="412" t="str">
        <f>'10.Grain Production details'!A104</f>
        <v>Maize</v>
      </c>
      <c r="B21" s="415"/>
      <c r="C21" s="165"/>
      <c r="D21" s="165">
        <f>'10.Grain Production details'!B104</f>
        <v>0</v>
      </c>
      <c r="E21" s="165">
        <f>'10.Grain Production details'!C104</f>
        <v>0</v>
      </c>
      <c r="F21" s="165">
        <f>'10.Grain Production details'!D104</f>
        <v>0</v>
      </c>
      <c r="G21" s="165">
        <f>'10.Grain Production details'!E104</f>
        <v>0</v>
      </c>
      <c r="H21" s="165">
        <f>'10.Grain Production details'!F104</f>
        <v>0</v>
      </c>
      <c r="I21" s="165">
        <f>'10.Grain Production details'!G104</f>
        <v>0</v>
      </c>
      <c r="J21" s="165">
        <f>'10.Grain Production details'!H104</f>
        <v>0</v>
      </c>
    </row>
    <row r="22" spans="1:10" hidden="1">
      <c r="A22" s="412" t="str">
        <f>'10.Grain Production details'!A105</f>
        <v>Safflower</v>
      </c>
      <c r="B22" s="415"/>
      <c r="C22" s="165"/>
      <c r="D22" s="165">
        <f>'10.Grain Production details'!B105</f>
        <v>0</v>
      </c>
      <c r="E22" s="165">
        <f>'10.Grain Production details'!C105</f>
        <v>0</v>
      </c>
      <c r="F22" s="165">
        <f>'10.Grain Production details'!D105</f>
        <v>0</v>
      </c>
      <c r="G22" s="165">
        <f>'10.Grain Production details'!E105</f>
        <v>0</v>
      </c>
      <c r="H22" s="165">
        <f>'10.Grain Production details'!F105</f>
        <v>0</v>
      </c>
      <c r="I22" s="165">
        <f>'10.Grain Production details'!G105</f>
        <v>0</v>
      </c>
      <c r="J22" s="165">
        <f>'10.Grain Production details'!H105</f>
        <v>0</v>
      </c>
    </row>
    <row r="23" spans="1:10" hidden="1">
      <c r="A23" s="412">
        <f>'10.Grain Production details'!A106</f>
        <v>0</v>
      </c>
      <c r="B23" s="415"/>
      <c r="C23" s="165"/>
      <c r="D23" s="165">
        <f>'10.Grain Production details'!B106</f>
        <v>0</v>
      </c>
      <c r="E23" s="165">
        <f>'10.Grain Production details'!C106</f>
        <v>0</v>
      </c>
      <c r="F23" s="165">
        <f>'10.Grain Production details'!D106</f>
        <v>0</v>
      </c>
      <c r="G23" s="165">
        <f>'10.Grain Production details'!E106</f>
        <v>0</v>
      </c>
      <c r="H23" s="165">
        <f>'10.Grain Production details'!F106</f>
        <v>0</v>
      </c>
      <c r="I23" s="165">
        <f>'10.Grain Production details'!G106</f>
        <v>0</v>
      </c>
      <c r="J23" s="165">
        <f>'10.Grain Production details'!H106</f>
        <v>0</v>
      </c>
    </row>
    <row r="24" spans="1:10" hidden="1">
      <c r="A24" s="412">
        <f>'10.Grain Production details'!A107</f>
        <v>0</v>
      </c>
      <c r="B24" s="415"/>
      <c r="C24" s="165"/>
      <c r="D24" s="165">
        <f>'10.Grain Production details'!B107</f>
        <v>0</v>
      </c>
      <c r="E24" s="165">
        <f>'10.Grain Production details'!C107</f>
        <v>0</v>
      </c>
      <c r="F24" s="165">
        <f>'10.Grain Production details'!D107</f>
        <v>0</v>
      </c>
      <c r="G24" s="165">
        <f>'10.Grain Production details'!E107</f>
        <v>0</v>
      </c>
      <c r="H24" s="165">
        <f>'10.Grain Production details'!F107</f>
        <v>0</v>
      </c>
      <c r="I24" s="165">
        <f>'10.Grain Production details'!G107</f>
        <v>0</v>
      </c>
      <c r="J24" s="165">
        <f>'10.Grain Production details'!H107</f>
        <v>0</v>
      </c>
    </row>
    <row r="25" spans="1:10" hidden="1">
      <c r="A25" s="412">
        <f>'10.Grain Production details'!A108</f>
        <v>0</v>
      </c>
      <c r="B25" s="415"/>
      <c r="C25" s="165"/>
      <c r="D25" s="165">
        <f>'10.Grain Production details'!B108</f>
        <v>0</v>
      </c>
      <c r="E25" s="165">
        <f>'10.Grain Production details'!C108</f>
        <v>0</v>
      </c>
      <c r="F25" s="165">
        <f>'10.Grain Production details'!D108</f>
        <v>0</v>
      </c>
      <c r="G25" s="165">
        <f>'10.Grain Production details'!E108</f>
        <v>0</v>
      </c>
      <c r="H25" s="165">
        <f>'10.Grain Production details'!F108</f>
        <v>0</v>
      </c>
      <c r="I25" s="165">
        <f>'10.Grain Production details'!G108</f>
        <v>0</v>
      </c>
      <c r="J25" s="165">
        <f>'10.Grain Production details'!H108</f>
        <v>0</v>
      </c>
    </row>
    <row r="26" spans="1:10">
      <c r="A26" s="414" t="str">
        <f>'10.Grain Production details'!A33</f>
        <v>Summer</v>
      </c>
      <c r="B26" s="417"/>
      <c r="C26" s="165"/>
      <c r="D26" s="165"/>
      <c r="E26" s="165"/>
      <c r="F26" s="165"/>
      <c r="G26" s="165"/>
      <c r="H26" s="165"/>
      <c r="I26" s="165"/>
      <c r="J26" s="165"/>
    </row>
    <row r="27" spans="1:10">
      <c r="A27" s="412" t="str">
        <f>'10.Grain Production details'!A109</f>
        <v>Groundnut</v>
      </c>
      <c r="B27" s="415"/>
      <c r="C27" s="165"/>
      <c r="D27" s="165">
        <f>'10.Grain Production details'!B110</f>
        <v>0</v>
      </c>
      <c r="E27" s="165">
        <f>'10.Grain Production details'!C110</f>
        <v>0</v>
      </c>
      <c r="F27" s="165">
        <f>'10.Grain Production details'!D110</f>
        <v>0</v>
      </c>
      <c r="G27" s="165">
        <f>'10.Grain Production details'!E110</f>
        <v>0</v>
      </c>
      <c r="H27" s="165">
        <f>'10.Grain Production details'!F110</f>
        <v>0</v>
      </c>
      <c r="I27" s="165">
        <f>'10.Grain Production details'!G110</f>
        <v>0</v>
      </c>
      <c r="J27" s="165">
        <f>'10.Grain Production details'!H110</f>
        <v>0</v>
      </c>
    </row>
    <row r="28" spans="1:10" hidden="1">
      <c r="A28" s="412">
        <f>'10.Grain Production details'!A110</f>
        <v>0</v>
      </c>
      <c r="B28" s="415"/>
      <c r="C28" s="165"/>
      <c r="D28" s="165">
        <f>'10.Grain Production details'!B111</f>
        <v>0</v>
      </c>
      <c r="E28" s="165">
        <f>'10.Grain Production details'!C111</f>
        <v>0</v>
      </c>
      <c r="F28" s="165">
        <f>'10.Grain Production details'!D111</f>
        <v>0</v>
      </c>
      <c r="G28" s="165">
        <f>'10.Grain Production details'!E111</f>
        <v>0</v>
      </c>
      <c r="H28" s="165">
        <f>'10.Grain Production details'!F111</f>
        <v>0</v>
      </c>
      <c r="I28" s="165">
        <f>'10.Grain Production details'!G111</f>
        <v>0</v>
      </c>
      <c r="J28" s="165">
        <f>'10.Grain Production details'!H111</f>
        <v>0</v>
      </c>
    </row>
    <row r="29" spans="1:10" hidden="1">
      <c r="A29" s="412">
        <f>'10.Grain Production details'!A111</f>
        <v>0</v>
      </c>
      <c r="B29" s="415"/>
      <c r="C29" s="165"/>
      <c r="D29" s="165">
        <f>'10.Grain Production details'!B112</f>
        <v>0</v>
      </c>
      <c r="E29" s="165">
        <f>'10.Grain Production details'!C112</f>
        <v>0</v>
      </c>
      <c r="F29" s="165">
        <f>'10.Grain Production details'!D112</f>
        <v>0</v>
      </c>
      <c r="G29" s="165">
        <f>'10.Grain Production details'!E112</f>
        <v>0</v>
      </c>
      <c r="H29" s="165">
        <f>'10.Grain Production details'!F112</f>
        <v>0</v>
      </c>
      <c r="I29" s="165">
        <f>'10.Grain Production details'!G112</f>
        <v>0</v>
      </c>
      <c r="J29" s="165">
        <f>'10.Grain Production details'!H112</f>
        <v>0</v>
      </c>
    </row>
    <row r="30" spans="1:10" hidden="1">
      <c r="A30" s="412">
        <f>'10.Grain Production details'!A112</f>
        <v>0</v>
      </c>
      <c r="B30" s="415"/>
      <c r="C30" s="165"/>
      <c r="D30" s="165">
        <f>'10.Grain Production details'!B113</f>
        <v>0</v>
      </c>
      <c r="E30" s="165">
        <f>'10.Grain Production details'!C113</f>
        <v>0</v>
      </c>
      <c r="F30" s="165">
        <f>'10.Grain Production details'!D113</f>
        <v>0</v>
      </c>
      <c r="G30" s="165">
        <f>'10.Grain Production details'!E113</f>
        <v>0</v>
      </c>
      <c r="H30" s="165">
        <f>'10.Grain Production details'!F113</f>
        <v>0</v>
      </c>
      <c r="I30" s="165">
        <f>'10.Grain Production details'!G113</f>
        <v>0</v>
      </c>
      <c r="J30" s="165">
        <f>'10.Grain Production details'!H113</f>
        <v>0</v>
      </c>
    </row>
    <row r="31" spans="1:10" hidden="1">
      <c r="A31" s="412">
        <f>'10.Grain Production details'!A113</f>
        <v>0</v>
      </c>
      <c r="B31" s="415"/>
      <c r="C31" s="165"/>
      <c r="D31" s="165">
        <f>'10.Grain Production details'!C114</f>
        <v>0</v>
      </c>
      <c r="E31" s="165">
        <f>'10.Grain Production details'!D114</f>
        <v>0</v>
      </c>
      <c r="F31" s="165">
        <f>'10.Grain Production details'!E114</f>
        <v>0</v>
      </c>
      <c r="G31" s="165">
        <f>'10.Grain Production details'!F114</f>
        <v>0</v>
      </c>
      <c r="H31" s="165">
        <f>'10.Grain Production details'!G114</f>
        <v>0</v>
      </c>
      <c r="I31" s="165">
        <f>'10.Grain Production details'!H114</f>
        <v>0</v>
      </c>
      <c r="J31" s="165">
        <f>'10.Grain Production details'!N114</f>
        <v>0</v>
      </c>
    </row>
    <row r="32" spans="1:10" hidden="1">
      <c r="A32" s="414" t="str">
        <f>'11.F&amp;V Crop Production details'!A1:H1</f>
        <v>Fruit  &amp; Vegetables Crop Production Details</v>
      </c>
      <c r="B32" s="417"/>
      <c r="C32" s="165"/>
      <c r="D32" s="165"/>
      <c r="E32" s="165"/>
      <c r="F32" s="165"/>
      <c r="G32" s="165"/>
      <c r="H32" s="165"/>
      <c r="I32" s="165"/>
      <c r="J32" s="165"/>
    </row>
    <row r="33" spans="1:10" hidden="1">
      <c r="A33" s="412" t="str">
        <f>'11.F&amp;V Crop Production details'!A108</f>
        <v>Exotic Vegitables</v>
      </c>
      <c r="B33" s="415"/>
      <c r="C33" s="165"/>
      <c r="D33" s="165">
        <f>'11.F&amp;V Crop Production details'!B108</f>
        <v>0</v>
      </c>
      <c r="E33" s="165">
        <f>'11.F&amp;V Crop Production details'!C108</f>
        <v>0</v>
      </c>
      <c r="F33" s="165">
        <f>'11.F&amp;V Crop Production details'!D108</f>
        <v>0</v>
      </c>
      <c r="G33" s="165">
        <f>'11.F&amp;V Crop Production details'!E108</f>
        <v>0</v>
      </c>
      <c r="H33" s="165">
        <f>'11.F&amp;V Crop Production details'!F108</f>
        <v>0</v>
      </c>
      <c r="I33" s="165">
        <f>'11.F&amp;V Crop Production details'!G108</f>
        <v>0</v>
      </c>
      <c r="J33" s="165">
        <f>'11.F&amp;V Crop Production details'!H108</f>
        <v>0</v>
      </c>
    </row>
    <row r="34" spans="1:10" hidden="1">
      <c r="A34" s="412" t="str">
        <f>'11.F&amp;V Crop Production details'!A109</f>
        <v>Tomato</v>
      </c>
      <c r="B34" s="415"/>
      <c r="C34" s="165"/>
      <c r="D34" s="165">
        <f>'11.F&amp;V Crop Production details'!B109</f>
        <v>0</v>
      </c>
      <c r="E34" s="165">
        <f>'11.F&amp;V Crop Production details'!C109</f>
        <v>0</v>
      </c>
      <c r="F34" s="165">
        <f>'11.F&amp;V Crop Production details'!D109</f>
        <v>0</v>
      </c>
      <c r="G34" s="165">
        <f>'11.F&amp;V Crop Production details'!E109</f>
        <v>0</v>
      </c>
      <c r="H34" s="165">
        <f>'11.F&amp;V Crop Production details'!F109</f>
        <v>0</v>
      </c>
      <c r="I34" s="165">
        <f>'11.F&amp;V Crop Production details'!G109</f>
        <v>0</v>
      </c>
      <c r="J34" s="165">
        <f>'11.F&amp;V Crop Production details'!H109</f>
        <v>0</v>
      </c>
    </row>
    <row r="35" spans="1:10" hidden="1">
      <c r="A35" s="412" t="str">
        <f>'11.F&amp;V Crop Production details'!A110</f>
        <v>Okra</v>
      </c>
      <c r="B35" s="415"/>
      <c r="C35" s="165"/>
      <c r="D35" s="165">
        <f>'11.F&amp;V Crop Production details'!B110</f>
        <v>0</v>
      </c>
      <c r="E35" s="165">
        <f>'11.F&amp;V Crop Production details'!C110</f>
        <v>0</v>
      </c>
      <c r="F35" s="165">
        <f>'11.F&amp;V Crop Production details'!D110</f>
        <v>0</v>
      </c>
      <c r="G35" s="165">
        <f>'11.F&amp;V Crop Production details'!E110</f>
        <v>0</v>
      </c>
      <c r="H35" s="165">
        <f>'11.F&amp;V Crop Production details'!F110</f>
        <v>0</v>
      </c>
      <c r="I35" s="165">
        <f>'11.F&amp;V Crop Production details'!G110</f>
        <v>0</v>
      </c>
      <c r="J35" s="165">
        <f>'11.F&amp;V Crop Production details'!H110</f>
        <v>0</v>
      </c>
    </row>
    <row r="36" spans="1:10" hidden="1">
      <c r="A36" s="412" t="str">
        <f>'11.F&amp;V Crop Production details'!A111</f>
        <v>Chilli</v>
      </c>
      <c r="B36" s="415"/>
      <c r="C36" s="165"/>
      <c r="D36" s="165">
        <f>'11.F&amp;V Crop Production details'!B111</f>
        <v>0</v>
      </c>
      <c r="E36" s="165">
        <f>'11.F&amp;V Crop Production details'!C111</f>
        <v>0</v>
      </c>
      <c r="F36" s="165">
        <f>'11.F&amp;V Crop Production details'!D111</f>
        <v>0</v>
      </c>
      <c r="G36" s="165">
        <f>'11.F&amp;V Crop Production details'!E111</f>
        <v>0</v>
      </c>
      <c r="H36" s="165">
        <f>'11.F&amp;V Crop Production details'!F111</f>
        <v>0</v>
      </c>
      <c r="I36" s="165">
        <f>'11.F&amp;V Crop Production details'!G111</f>
        <v>0</v>
      </c>
      <c r="J36" s="165">
        <f>'11.F&amp;V Crop Production details'!H111</f>
        <v>0</v>
      </c>
    </row>
    <row r="37" spans="1:10" hidden="1">
      <c r="A37" s="412" t="str">
        <f>'11.F&amp;V Crop Production details'!A112</f>
        <v>Potato</v>
      </c>
      <c r="B37" s="415"/>
      <c r="C37" s="165"/>
      <c r="D37" s="165">
        <f>'11.F&amp;V Crop Production details'!B112</f>
        <v>0</v>
      </c>
      <c r="E37" s="165">
        <f>'11.F&amp;V Crop Production details'!C112</f>
        <v>0</v>
      </c>
      <c r="F37" s="165">
        <f>'11.F&amp;V Crop Production details'!D112</f>
        <v>0</v>
      </c>
      <c r="G37" s="165">
        <f>'11.F&amp;V Crop Production details'!E112</f>
        <v>0</v>
      </c>
      <c r="H37" s="165">
        <f>'11.F&amp;V Crop Production details'!F112</f>
        <v>0</v>
      </c>
      <c r="I37" s="165">
        <f>'11.F&amp;V Crop Production details'!G112</f>
        <v>0</v>
      </c>
      <c r="J37" s="165">
        <f>'11.F&amp;V Crop Production details'!H112</f>
        <v>0</v>
      </c>
    </row>
    <row r="38" spans="1:10" hidden="1">
      <c r="A38" s="412" t="str">
        <f>'11.F&amp;V Crop Production details'!A113</f>
        <v>Cabbage</v>
      </c>
      <c r="B38" s="415"/>
      <c r="C38" s="165"/>
      <c r="D38" s="165">
        <f>'11.F&amp;V Crop Production details'!B113</f>
        <v>0</v>
      </c>
      <c r="E38" s="165">
        <f>'11.F&amp;V Crop Production details'!C113</f>
        <v>0</v>
      </c>
      <c r="F38" s="165">
        <f>'11.F&amp;V Crop Production details'!D113</f>
        <v>0</v>
      </c>
      <c r="G38" s="165">
        <f>'11.F&amp;V Crop Production details'!E113</f>
        <v>0</v>
      </c>
      <c r="H38" s="165">
        <f>'11.F&amp;V Crop Production details'!F113</f>
        <v>0</v>
      </c>
      <c r="I38" s="165">
        <f>'11.F&amp;V Crop Production details'!G113</f>
        <v>0</v>
      </c>
      <c r="J38" s="165">
        <f>'11.F&amp;V Crop Production details'!H113</f>
        <v>0</v>
      </c>
    </row>
    <row r="39" spans="1:10" hidden="1">
      <c r="A39" s="412" t="str">
        <f>'11.F&amp;V Crop Production details'!A114</f>
        <v>Coliflower</v>
      </c>
      <c r="B39" s="415"/>
      <c r="C39" s="165"/>
      <c r="D39" s="165">
        <f>'11.F&amp;V Crop Production details'!B114</f>
        <v>0</v>
      </c>
      <c r="E39" s="165">
        <f>'11.F&amp;V Crop Production details'!C114</f>
        <v>0</v>
      </c>
      <c r="F39" s="165">
        <f>'11.F&amp;V Crop Production details'!D114</f>
        <v>0</v>
      </c>
      <c r="G39" s="165">
        <f>'11.F&amp;V Crop Production details'!E114</f>
        <v>0</v>
      </c>
      <c r="H39" s="165">
        <f>'11.F&amp;V Crop Production details'!F114</f>
        <v>0</v>
      </c>
      <c r="I39" s="165">
        <f>'11.F&amp;V Crop Production details'!G114</f>
        <v>0</v>
      </c>
      <c r="J39" s="165">
        <f>'11.F&amp;V Crop Production details'!H114</f>
        <v>0</v>
      </c>
    </row>
    <row r="40" spans="1:10" hidden="1">
      <c r="A40" s="412" t="str">
        <f>'11.F&amp;V Crop Production details'!A115</f>
        <v>Bitter Gurd</v>
      </c>
      <c r="B40" s="415"/>
      <c r="C40" s="165"/>
      <c r="D40" s="165">
        <f>'11.F&amp;V Crop Production details'!B115</f>
        <v>0</v>
      </c>
      <c r="E40" s="165">
        <f>'11.F&amp;V Crop Production details'!C115</f>
        <v>0</v>
      </c>
      <c r="F40" s="165">
        <f>'11.F&amp;V Crop Production details'!D115</f>
        <v>0</v>
      </c>
      <c r="G40" s="165">
        <f>'11.F&amp;V Crop Production details'!E115</f>
        <v>0</v>
      </c>
      <c r="H40" s="165">
        <f>'11.F&amp;V Crop Production details'!F115</f>
        <v>0</v>
      </c>
      <c r="I40" s="165">
        <f>'11.F&amp;V Crop Production details'!G115</f>
        <v>0</v>
      </c>
      <c r="J40" s="165">
        <f>'11.F&amp;V Crop Production details'!H115</f>
        <v>0</v>
      </c>
    </row>
    <row r="41" spans="1:10" hidden="1">
      <c r="A41" s="412">
        <f>'11.F&amp;V Crop Production details'!A116</f>
        <v>0</v>
      </c>
      <c r="B41" s="415"/>
      <c r="C41" s="165"/>
      <c r="D41" s="165">
        <f>'11.F&amp;V Crop Production details'!B116</f>
        <v>0</v>
      </c>
      <c r="E41" s="165">
        <f>'11.F&amp;V Crop Production details'!C116</f>
        <v>0</v>
      </c>
      <c r="F41" s="165">
        <f>'11.F&amp;V Crop Production details'!D116</f>
        <v>0</v>
      </c>
      <c r="G41" s="165">
        <f>'11.F&amp;V Crop Production details'!E116</f>
        <v>0</v>
      </c>
      <c r="H41" s="165">
        <f>'11.F&amp;V Crop Production details'!F116</f>
        <v>0</v>
      </c>
      <c r="I41" s="165">
        <f>'11.F&amp;V Crop Production details'!G116</f>
        <v>0</v>
      </c>
      <c r="J41" s="165">
        <f>'11.F&amp;V Crop Production details'!H116</f>
        <v>0</v>
      </c>
    </row>
    <row r="42" spans="1:10" hidden="1">
      <c r="A42" s="412" t="str">
        <f>'11.F&amp;V Crop Production details'!A117</f>
        <v>Exotic Vegitables</v>
      </c>
      <c r="B42" s="415"/>
      <c r="C42" s="165"/>
      <c r="D42" s="165">
        <f>'11.F&amp;V Crop Production details'!B117</f>
        <v>0</v>
      </c>
      <c r="E42" s="165">
        <f>'11.F&amp;V Crop Production details'!C117</f>
        <v>0</v>
      </c>
      <c r="F42" s="165">
        <f>'11.F&amp;V Crop Production details'!D117</f>
        <v>0</v>
      </c>
      <c r="G42" s="165">
        <f>'11.F&amp;V Crop Production details'!E117</f>
        <v>0</v>
      </c>
      <c r="H42" s="165">
        <f>'11.F&amp;V Crop Production details'!F117</f>
        <v>0</v>
      </c>
      <c r="I42" s="165">
        <f>'11.F&amp;V Crop Production details'!G117</f>
        <v>0</v>
      </c>
      <c r="J42" s="165">
        <f>'11.F&amp;V Crop Production details'!H117</f>
        <v>0</v>
      </c>
    </row>
    <row r="43" spans="1:10" hidden="1">
      <c r="A43" s="412" t="str">
        <f>'11.F&amp;V Crop Production details'!A118</f>
        <v>Tomato</v>
      </c>
      <c r="B43" s="415"/>
      <c r="C43" s="165"/>
      <c r="D43" s="165">
        <f>'11.F&amp;V Crop Production details'!B118</f>
        <v>0</v>
      </c>
      <c r="E43" s="165">
        <f>'11.F&amp;V Crop Production details'!C118</f>
        <v>0</v>
      </c>
      <c r="F43" s="165">
        <f>'11.F&amp;V Crop Production details'!D118</f>
        <v>0</v>
      </c>
      <c r="G43" s="165">
        <f>'11.F&amp;V Crop Production details'!E118</f>
        <v>0</v>
      </c>
      <c r="H43" s="165">
        <f>'11.F&amp;V Crop Production details'!F118</f>
        <v>0</v>
      </c>
      <c r="I43" s="165">
        <f>'11.F&amp;V Crop Production details'!G118</f>
        <v>0</v>
      </c>
      <c r="J43" s="165">
        <f>'11.F&amp;V Crop Production details'!H118</f>
        <v>0</v>
      </c>
    </row>
    <row r="44" spans="1:10" hidden="1">
      <c r="A44" s="412" t="str">
        <f>'11.F&amp;V Crop Production details'!A119</f>
        <v>Okra</v>
      </c>
      <c r="B44" s="415"/>
      <c r="C44" s="165"/>
      <c r="D44" s="165">
        <f>'11.F&amp;V Crop Production details'!B119</f>
        <v>0</v>
      </c>
      <c r="E44" s="165">
        <f>'11.F&amp;V Crop Production details'!C119</f>
        <v>0</v>
      </c>
      <c r="F44" s="165">
        <f>'11.F&amp;V Crop Production details'!D119</f>
        <v>0</v>
      </c>
      <c r="G44" s="165">
        <f>'11.F&amp;V Crop Production details'!E119</f>
        <v>0</v>
      </c>
      <c r="H44" s="165">
        <f>'11.F&amp;V Crop Production details'!F119</f>
        <v>0</v>
      </c>
      <c r="I44" s="165">
        <f>'11.F&amp;V Crop Production details'!G119</f>
        <v>0</v>
      </c>
      <c r="J44" s="165">
        <f>'11.F&amp;V Crop Production details'!H119</f>
        <v>0</v>
      </c>
    </row>
    <row r="45" spans="1:10" hidden="1">
      <c r="A45" s="412" t="str">
        <f>'11.F&amp;V Crop Production details'!A120</f>
        <v>Chilli</v>
      </c>
      <c r="B45" s="415"/>
      <c r="C45" s="165"/>
      <c r="D45" s="165">
        <f>'11.F&amp;V Crop Production details'!B120</f>
        <v>0</v>
      </c>
      <c r="E45" s="165">
        <f>'11.F&amp;V Crop Production details'!C120</f>
        <v>0</v>
      </c>
      <c r="F45" s="165">
        <f>'11.F&amp;V Crop Production details'!D120</f>
        <v>0</v>
      </c>
      <c r="G45" s="165">
        <f>'11.F&amp;V Crop Production details'!E120</f>
        <v>0</v>
      </c>
      <c r="H45" s="165">
        <f>'11.F&amp;V Crop Production details'!F120</f>
        <v>0</v>
      </c>
      <c r="I45" s="165">
        <f>'11.F&amp;V Crop Production details'!G120</f>
        <v>0</v>
      </c>
      <c r="J45" s="165">
        <f>'11.F&amp;V Crop Production details'!H120</f>
        <v>0</v>
      </c>
    </row>
    <row r="46" spans="1:10" hidden="1">
      <c r="A46" s="412" t="str">
        <f>'11.F&amp;V Crop Production details'!A121</f>
        <v>Brinjal</v>
      </c>
      <c r="B46" s="415"/>
      <c r="C46" s="165"/>
      <c r="D46" s="165">
        <f>'11.F&amp;V Crop Production details'!B121</f>
        <v>0</v>
      </c>
      <c r="E46" s="165">
        <f>'11.F&amp;V Crop Production details'!C121</f>
        <v>0</v>
      </c>
      <c r="F46" s="165">
        <f>'11.F&amp;V Crop Production details'!D121</f>
        <v>0</v>
      </c>
      <c r="G46" s="165">
        <f>'11.F&amp;V Crop Production details'!E121</f>
        <v>0</v>
      </c>
      <c r="H46" s="165">
        <f>'11.F&amp;V Crop Production details'!F121</f>
        <v>0</v>
      </c>
      <c r="I46" s="165">
        <f>'11.F&amp;V Crop Production details'!G121</f>
        <v>0</v>
      </c>
      <c r="J46" s="165">
        <f>'11.F&amp;V Crop Production details'!H121</f>
        <v>0</v>
      </c>
    </row>
    <row r="47" spans="1:10" hidden="1">
      <c r="A47" s="412" t="str">
        <f>'11.F&amp;V Crop Production details'!A122</f>
        <v>Ginger</v>
      </c>
      <c r="B47" s="415"/>
      <c r="C47" s="165"/>
      <c r="D47" s="165">
        <f>'11.F&amp;V Crop Production details'!B122</f>
        <v>0</v>
      </c>
      <c r="E47" s="165">
        <f>'11.F&amp;V Crop Production details'!C122</f>
        <v>0</v>
      </c>
      <c r="F47" s="165">
        <f>'11.F&amp;V Crop Production details'!D122</f>
        <v>0</v>
      </c>
      <c r="G47" s="165">
        <f>'11.F&amp;V Crop Production details'!E122</f>
        <v>0</v>
      </c>
      <c r="H47" s="165">
        <f>'11.F&amp;V Crop Production details'!F122</f>
        <v>0</v>
      </c>
      <c r="I47" s="165">
        <f>'11.F&amp;V Crop Production details'!G122</f>
        <v>0</v>
      </c>
      <c r="J47" s="165">
        <f>'11.F&amp;V Crop Production details'!H122</f>
        <v>0</v>
      </c>
    </row>
    <row r="48" spans="1:10" hidden="1">
      <c r="A48" s="412">
        <f>'11.F&amp;V Crop Production details'!A123</f>
        <v>0</v>
      </c>
      <c r="B48" s="415"/>
      <c r="C48" s="165"/>
      <c r="D48" s="165">
        <f>'11.F&amp;V Crop Production details'!B123</f>
        <v>0</v>
      </c>
      <c r="E48" s="165">
        <f>'11.F&amp;V Crop Production details'!C123</f>
        <v>0</v>
      </c>
      <c r="F48" s="165">
        <f>'11.F&amp;V Crop Production details'!D123</f>
        <v>0</v>
      </c>
      <c r="G48" s="165">
        <f>'11.F&amp;V Crop Production details'!E123</f>
        <v>0</v>
      </c>
      <c r="H48" s="165">
        <f>'11.F&amp;V Crop Production details'!F123</f>
        <v>0</v>
      </c>
      <c r="I48" s="165">
        <f>'11.F&amp;V Crop Production details'!G123</f>
        <v>0</v>
      </c>
      <c r="J48" s="165">
        <f>'11.F&amp;V Crop Production details'!H123</f>
        <v>0</v>
      </c>
    </row>
    <row r="49" spans="1:10" hidden="1">
      <c r="A49" s="412">
        <f>'11.F&amp;V Crop Production details'!A124</f>
        <v>0</v>
      </c>
      <c r="B49" s="415"/>
      <c r="C49" s="165"/>
      <c r="D49" s="165">
        <f>'11.F&amp;V Crop Production details'!B124</f>
        <v>0</v>
      </c>
      <c r="E49" s="165">
        <f>'11.F&amp;V Crop Production details'!C124</f>
        <v>0</v>
      </c>
      <c r="F49" s="165">
        <f>'11.F&amp;V Crop Production details'!D124</f>
        <v>0</v>
      </c>
      <c r="G49" s="165">
        <f>'11.F&amp;V Crop Production details'!E124</f>
        <v>0</v>
      </c>
      <c r="H49" s="165">
        <f>'11.F&amp;V Crop Production details'!F124</f>
        <v>0</v>
      </c>
      <c r="I49" s="165">
        <f>'11.F&amp;V Crop Production details'!G124</f>
        <v>0</v>
      </c>
      <c r="J49" s="165">
        <f>'11.F&amp;V Crop Production details'!H124</f>
        <v>0</v>
      </c>
    </row>
    <row r="50" spans="1:10" hidden="1">
      <c r="A50" s="412" t="str">
        <f>'11.F&amp;V Crop Production details'!A125</f>
        <v>Spinach</v>
      </c>
      <c r="B50" s="415"/>
      <c r="C50" s="165"/>
      <c r="D50" s="165">
        <f>'11.F&amp;V Crop Production details'!B125</f>
        <v>0</v>
      </c>
      <c r="E50" s="165">
        <f>'11.F&amp;V Crop Production details'!C125</f>
        <v>0</v>
      </c>
      <c r="F50" s="165">
        <f>'11.F&amp;V Crop Production details'!D125</f>
        <v>0</v>
      </c>
      <c r="G50" s="165">
        <f>'11.F&amp;V Crop Production details'!E125</f>
        <v>0</v>
      </c>
      <c r="H50" s="165">
        <f>'11.F&amp;V Crop Production details'!F125</f>
        <v>0</v>
      </c>
      <c r="I50" s="165">
        <f>'11.F&amp;V Crop Production details'!G125</f>
        <v>0</v>
      </c>
      <c r="J50" s="165">
        <f>'11.F&amp;V Crop Production details'!H125</f>
        <v>0</v>
      </c>
    </row>
    <row r="51" spans="1:10" hidden="1">
      <c r="A51" s="412" t="str">
        <f>'11.F&amp;V Crop Production details'!A126</f>
        <v>Fenugreek</v>
      </c>
      <c r="B51" s="415"/>
      <c r="C51" s="165"/>
      <c r="D51" s="165">
        <f>'11.F&amp;V Crop Production details'!B126</f>
        <v>0</v>
      </c>
      <c r="E51" s="165">
        <f>'11.F&amp;V Crop Production details'!C126</f>
        <v>0</v>
      </c>
      <c r="F51" s="165">
        <f>'11.F&amp;V Crop Production details'!D126</f>
        <v>0</v>
      </c>
      <c r="G51" s="165">
        <f>'11.F&amp;V Crop Production details'!E126</f>
        <v>0</v>
      </c>
      <c r="H51" s="165">
        <f>'11.F&amp;V Crop Production details'!F126</f>
        <v>0</v>
      </c>
      <c r="I51" s="165">
        <f>'11.F&amp;V Crop Production details'!G126</f>
        <v>0</v>
      </c>
      <c r="J51" s="165">
        <f>'11.F&amp;V Crop Production details'!H126</f>
        <v>0</v>
      </c>
    </row>
    <row r="52" spans="1:10" hidden="1">
      <c r="A52" s="412" t="str">
        <f>'11.F&amp;V Crop Production details'!A127</f>
        <v>coriander</v>
      </c>
      <c r="B52" s="415"/>
      <c r="C52" s="165"/>
      <c r="D52" s="165">
        <f>'11.F&amp;V Crop Production details'!B127</f>
        <v>0</v>
      </c>
      <c r="E52" s="165">
        <f>'11.F&amp;V Crop Production details'!C127</f>
        <v>0</v>
      </c>
      <c r="F52" s="165">
        <f>'11.F&amp;V Crop Production details'!D127</f>
        <v>0</v>
      </c>
      <c r="G52" s="165">
        <f>'11.F&amp;V Crop Production details'!E127</f>
        <v>0</v>
      </c>
      <c r="H52" s="165">
        <f>'11.F&amp;V Crop Production details'!F127</f>
        <v>0</v>
      </c>
      <c r="I52" s="165">
        <f>'11.F&amp;V Crop Production details'!G127</f>
        <v>0</v>
      </c>
      <c r="J52" s="165">
        <f>'11.F&amp;V Crop Production details'!H127</f>
        <v>0</v>
      </c>
    </row>
    <row r="53" spans="1:10" hidden="1">
      <c r="A53" s="412" t="str">
        <f>'11.F&amp;V Crop Production details'!A128</f>
        <v>Shepu</v>
      </c>
      <c r="B53" s="415"/>
      <c r="C53" s="165"/>
      <c r="D53" s="165">
        <f>'11.F&amp;V Crop Production details'!B128</f>
        <v>0</v>
      </c>
      <c r="E53" s="165">
        <f>'11.F&amp;V Crop Production details'!C128</f>
        <v>0</v>
      </c>
      <c r="F53" s="165">
        <f>'11.F&amp;V Crop Production details'!D128</f>
        <v>0</v>
      </c>
      <c r="G53" s="165">
        <f>'11.F&amp;V Crop Production details'!E128</f>
        <v>0</v>
      </c>
      <c r="H53" s="165">
        <f>'11.F&amp;V Crop Production details'!F128</f>
        <v>0</v>
      </c>
      <c r="I53" s="165">
        <f>'11.F&amp;V Crop Production details'!G128</f>
        <v>0</v>
      </c>
      <c r="J53" s="165">
        <f>'11.F&amp;V Crop Production details'!H128</f>
        <v>0</v>
      </c>
    </row>
    <row r="54" spans="1:10" hidden="1">
      <c r="A54" s="412" t="str">
        <f>'11.F&amp;V Crop Production details'!A129</f>
        <v>Pomegranate</v>
      </c>
      <c r="B54" s="415"/>
      <c r="C54" s="165"/>
      <c r="D54" s="165">
        <f>'11.F&amp;V Crop Production details'!B129</f>
        <v>0</v>
      </c>
      <c r="E54" s="165">
        <f>'11.F&amp;V Crop Production details'!C129</f>
        <v>0</v>
      </c>
      <c r="F54" s="165">
        <f>'11.F&amp;V Crop Production details'!D129</f>
        <v>0</v>
      </c>
      <c r="G54" s="165">
        <f>'11.F&amp;V Crop Production details'!E129</f>
        <v>0</v>
      </c>
      <c r="H54" s="165">
        <f>'11.F&amp;V Crop Production details'!F129</f>
        <v>0</v>
      </c>
      <c r="I54" s="165">
        <f>'11.F&amp;V Crop Production details'!G129</f>
        <v>0</v>
      </c>
      <c r="J54" s="165">
        <f>'11.F&amp;V Crop Production details'!H129</f>
        <v>0</v>
      </c>
    </row>
    <row r="55" spans="1:10" hidden="1">
      <c r="A55" s="412" t="str">
        <f>'11.F&amp;V Crop Production details'!A130</f>
        <v>Banana</v>
      </c>
      <c r="B55" s="415"/>
      <c r="C55" s="165"/>
      <c r="D55" s="165">
        <f>'11.F&amp;V Crop Production details'!B130</f>
        <v>0</v>
      </c>
      <c r="E55" s="165">
        <f>'11.F&amp;V Crop Production details'!C130</f>
        <v>0</v>
      </c>
      <c r="F55" s="165">
        <f>'11.F&amp;V Crop Production details'!D130</f>
        <v>0</v>
      </c>
      <c r="G55" s="165">
        <f>'11.F&amp;V Crop Production details'!E130</f>
        <v>0</v>
      </c>
      <c r="H55" s="165">
        <f>'11.F&amp;V Crop Production details'!F130</f>
        <v>0</v>
      </c>
      <c r="I55" s="165">
        <f>'11.F&amp;V Crop Production details'!G130</f>
        <v>0</v>
      </c>
      <c r="J55" s="165">
        <f>'11.F&amp;V Crop Production details'!H130</f>
        <v>0</v>
      </c>
    </row>
    <row r="56" spans="1:10" hidden="1">
      <c r="A56" s="412" t="str">
        <f>'11.F&amp;V Crop Production details'!A131</f>
        <v>Graps</v>
      </c>
      <c r="B56" s="415"/>
      <c r="C56" s="165"/>
      <c r="D56" s="165">
        <f>'11.F&amp;V Crop Production details'!B131</f>
        <v>0</v>
      </c>
      <c r="E56" s="165">
        <f>'11.F&amp;V Crop Production details'!C131</f>
        <v>0</v>
      </c>
      <c r="F56" s="165">
        <f>'11.F&amp;V Crop Production details'!D131</f>
        <v>0</v>
      </c>
      <c r="G56" s="165">
        <f>'11.F&amp;V Crop Production details'!E131</f>
        <v>0</v>
      </c>
      <c r="H56" s="165">
        <f>'11.F&amp;V Crop Production details'!F131</f>
        <v>0</v>
      </c>
      <c r="I56" s="165">
        <f>'11.F&amp;V Crop Production details'!G131</f>
        <v>0</v>
      </c>
      <c r="J56" s="165">
        <f>'11.F&amp;V Crop Production details'!H131</f>
        <v>0</v>
      </c>
    </row>
    <row r="57" spans="1:10" hidden="1">
      <c r="A57" s="412" t="str">
        <f>'11.F&amp;V Crop Production details'!A133</f>
        <v>Citrus</v>
      </c>
      <c r="B57" s="415"/>
      <c r="C57" s="165"/>
      <c r="D57" s="165">
        <f>'11.F&amp;V Crop Production details'!B133</f>
        <v>0</v>
      </c>
      <c r="E57" s="165">
        <f>'11.F&amp;V Crop Production details'!C133</f>
        <v>0</v>
      </c>
      <c r="F57" s="165">
        <f>'11.F&amp;V Crop Production details'!D133</f>
        <v>0</v>
      </c>
      <c r="G57" s="165">
        <f>'11.F&amp;V Crop Production details'!E133</f>
        <v>0</v>
      </c>
      <c r="H57" s="165">
        <f>'11.F&amp;V Crop Production details'!F133</f>
        <v>0</v>
      </c>
      <c r="I57" s="165">
        <f>'11.F&amp;V Crop Production details'!G133</f>
        <v>0</v>
      </c>
      <c r="J57" s="165">
        <f>'11.F&amp;V Crop Production details'!H133</f>
        <v>0</v>
      </c>
    </row>
    <row r="58" spans="1:10">
      <c r="A58" s="412"/>
      <c r="B58" s="415"/>
      <c r="C58" s="165"/>
      <c r="D58" s="165"/>
      <c r="E58" s="165"/>
      <c r="F58" s="165"/>
      <c r="G58" s="165"/>
      <c r="H58" s="165"/>
      <c r="I58" s="165"/>
      <c r="J58" s="165"/>
    </row>
    <row r="59" spans="1:10">
      <c r="A59" s="414" t="s">
        <v>183</v>
      </c>
      <c r="B59" s="417"/>
      <c r="C59" s="69"/>
      <c r="D59" s="69"/>
      <c r="E59" s="69"/>
      <c r="F59" s="69"/>
      <c r="G59" s="69"/>
      <c r="H59" s="69"/>
      <c r="I59" s="69"/>
      <c r="J59" s="69"/>
    </row>
    <row r="60" spans="1:10">
      <c r="A60" s="414" t="s">
        <v>184</v>
      </c>
      <c r="B60" s="417"/>
      <c r="C60" s="69"/>
      <c r="D60" s="69"/>
      <c r="E60" s="69"/>
      <c r="F60" s="69"/>
      <c r="G60" s="69"/>
      <c r="H60" s="69"/>
      <c r="I60" s="69"/>
      <c r="J60" s="69"/>
    </row>
    <row r="61" spans="1:10">
      <c r="A61" s="414" t="str">
        <f t="shared" ref="A61:A92" si="0">A8</f>
        <v>Kharif Crops</v>
      </c>
      <c r="B61" s="417"/>
      <c r="C61" s="69"/>
      <c r="D61" s="69"/>
      <c r="E61" s="69"/>
      <c r="F61" s="69"/>
      <c r="G61" s="69"/>
      <c r="H61" s="69"/>
      <c r="I61" s="69"/>
      <c r="J61" s="69"/>
    </row>
    <row r="62" spans="1:10">
      <c r="A62" s="412" t="str">
        <f t="shared" si="0"/>
        <v>Soybean</v>
      </c>
      <c r="B62" s="415"/>
      <c r="C62" s="286">
        <v>40</v>
      </c>
      <c r="D62" s="161">
        <f t="shared" ref="D62:J62" si="1">$C62*D9</f>
        <v>0</v>
      </c>
      <c r="E62" s="161">
        <f t="shared" si="1"/>
        <v>0</v>
      </c>
      <c r="F62" s="161">
        <f t="shared" si="1"/>
        <v>0</v>
      </c>
      <c r="G62" s="161">
        <f t="shared" si="1"/>
        <v>0</v>
      </c>
      <c r="H62" s="161">
        <f t="shared" si="1"/>
        <v>0</v>
      </c>
      <c r="I62" s="161">
        <f t="shared" si="1"/>
        <v>0</v>
      </c>
      <c r="J62" s="161">
        <f t="shared" si="1"/>
        <v>0</v>
      </c>
    </row>
    <row r="63" spans="1:10">
      <c r="A63" s="412" t="str">
        <f t="shared" si="0"/>
        <v>Red Gram/Tur</v>
      </c>
      <c r="B63" s="415"/>
      <c r="C63" s="286">
        <v>5</v>
      </c>
      <c r="D63" s="161">
        <f t="shared" ref="D63:D69" si="2">$C63*D10</f>
        <v>0</v>
      </c>
      <c r="E63" s="161">
        <f t="shared" ref="E63:J63" si="3">$C$63*E10</f>
        <v>0</v>
      </c>
      <c r="F63" s="161">
        <f t="shared" si="3"/>
        <v>0</v>
      </c>
      <c r="G63" s="161">
        <f t="shared" si="3"/>
        <v>0</v>
      </c>
      <c r="H63" s="161">
        <f t="shared" si="3"/>
        <v>0</v>
      </c>
      <c r="I63" s="161">
        <f t="shared" si="3"/>
        <v>0</v>
      </c>
      <c r="J63" s="161">
        <f t="shared" si="3"/>
        <v>0</v>
      </c>
    </row>
    <row r="64" spans="1:10">
      <c r="A64" s="412" t="str">
        <f t="shared" si="0"/>
        <v>Paddy/Rice</v>
      </c>
      <c r="B64" s="415"/>
      <c r="C64" s="286">
        <v>15</v>
      </c>
      <c r="D64" s="161">
        <f t="shared" si="2"/>
        <v>0</v>
      </c>
      <c r="E64" s="161">
        <f t="shared" ref="E64:J64" si="4">$C$64*E11</f>
        <v>0</v>
      </c>
      <c r="F64" s="161">
        <f t="shared" si="4"/>
        <v>0</v>
      </c>
      <c r="G64" s="161">
        <f t="shared" si="4"/>
        <v>0</v>
      </c>
      <c r="H64" s="161">
        <f t="shared" si="4"/>
        <v>0</v>
      </c>
      <c r="I64" s="161">
        <f t="shared" si="4"/>
        <v>0</v>
      </c>
      <c r="J64" s="161">
        <f t="shared" si="4"/>
        <v>0</v>
      </c>
    </row>
    <row r="65" spans="1:10">
      <c r="A65" s="412" t="str">
        <f t="shared" si="0"/>
        <v>Green Gram/ Moong</v>
      </c>
      <c r="B65" s="415"/>
      <c r="C65" s="286">
        <v>15</v>
      </c>
      <c r="D65" s="161">
        <f t="shared" si="2"/>
        <v>0</v>
      </c>
      <c r="E65" s="161">
        <f t="shared" ref="E65:J69" si="5">$C65*E12</f>
        <v>0</v>
      </c>
      <c r="F65" s="161">
        <f t="shared" si="5"/>
        <v>0</v>
      </c>
      <c r="G65" s="161">
        <f t="shared" si="5"/>
        <v>0</v>
      </c>
      <c r="H65" s="161">
        <f t="shared" si="5"/>
        <v>0</v>
      </c>
      <c r="I65" s="161">
        <f t="shared" si="5"/>
        <v>0</v>
      </c>
      <c r="J65" s="161">
        <f t="shared" si="5"/>
        <v>0</v>
      </c>
    </row>
    <row r="66" spans="1:10">
      <c r="A66" s="412" t="str">
        <f t="shared" si="0"/>
        <v>Maize</v>
      </c>
      <c r="B66" s="415"/>
      <c r="C66" s="286">
        <v>25</v>
      </c>
      <c r="D66" s="161">
        <f t="shared" si="2"/>
        <v>0</v>
      </c>
      <c r="E66" s="161">
        <f t="shared" si="5"/>
        <v>0</v>
      </c>
      <c r="F66" s="161">
        <f t="shared" si="5"/>
        <v>0</v>
      </c>
      <c r="G66" s="161">
        <f t="shared" si="5"/>
        <v>0</v>
      </c>
      <c r="H66" s="161">
        <f t="shared" si="5"/>
        <v>0</v>
      </c>
      <c r="I66" s="161">
        <f t="shared" si="5"/>
        <v>0</v>
      </c>
      <c r="J66" s="161">
        <f t="shared" si="5"/>
        <v>0</v>
      </c>
    </row>
    <row r="67" spans="1:10">
      <c r="A67" s="412" t="str">
        <f t="shared" si="0"/>
        <v>Black Gram/Udid</v>
      </c>
      <c r="B67" s="415"/>
      <c r="C67" s="286">
        <v>15</v>
      </c>
      <c r="D67" s="161">
        <f t="shared" si="2"/>
        <v>0</v>
      </c>
      <c r="E67" s="161">
        <f t="shared" si="5"/>
        <v>0</v>
      </c>
      <c r="F67" s="161">
        <f t="shared" si="5"/>
        <v>0</v>
      </c>
      <c r="G67" s="161">
        <f t="shared" si="5"/>
        <v>0</v>
      </c>
      <c r="H67" s="161">
        <f t="shared" si="5"/>
        <v>0</v>
      </c>
      <c r="I67" s="161">
        <f t="shared" si="5"/>
        <v>0</v>
      </c>
      <c r="J67" s="161">
        <f t="shared" si="5"/>
        <v>0</v>
      </c>
    </row>
    <row r="68" spans="1:10">
      <c r="A68" s="412" t="str">
        <f t="shared" si="0"/>
        <v>Bajra</v>
      </c>
      <c r="B68" s="415"/>
      <c r="C68" s="286">
        <v>5</v>
      </c>
      <c r="D68" s="161">
        <f t="shared" si="2"/>
        <v>0</v>
      </c>
      <c r="E68" s="161">
        <f t="shared" si="5"/>
        <v>0</v>
      </c>
      <c r="F68" s="161">
        <f t="shared" si="5"/>
        <v>0</v>
      </c>
      <c r="G68" s="161">
        <f t="shared" si="5"/>
        <v>0</v>
      </c>
      <c r="H68" s="161">
        <f t="shared" si="5"/>
        <v>0</v>
      </c>
      <c r="I68" s="161">
        <f t="shared" si="5"/>
        <v>0</v>
      </c>
      <c r="J68" s="161">
        <f t="shared" si="5"/>
        <v>0</v>
      </c>
    </row>
    <row r="69" spans="1:10">
      <c r="A69" s="412" t="str">
        <f t="shared" si="0"/>
        <v>Jawar</v>
      </c>
      <c r="B69" s="415"/>
      <c r="C69" s="286">
        <v>5</v>
      </c>
      <c r="D69" s="161">
        <f t="shared" si="2"/>
        <v>0</v>
      </c>
      <c r="E69" s="161">
        <f t="shared" si="5"/>
        <v>0</v>
      </c>
      <c r="F69" s="161">
        <f t="shared" si="5"/>
        <v>0</v>
      </c>
      <c r="G69" s="161">
        <f t="shared" si="5"/>
        <v>0</v>
      </c>
      <c r="H69" s="161">
        <f t="shared" si="5"/>
        <v>0</v>
      </c>
      <c r="I69" s="161">
        <f t="shared" si="5"/>
        <v>0</v>
      </c>
      <c r="J69" s="161">
        <f t="shared" si="5"/>
        <v>0</v>
      </c>
    </row>
    <row r="70" spans="1:10">
      <c r="A70" s="414" t="str">
        <f t="shared" si="0"/>
        <v>Rabi Crop</v>
      </c>
      <c r="B70" s="417"/>
      <c r="C70" s="286"/>
      <c r="D70" s="161"/>
      <c r="E70" s="161"/>
      <c r="F70" s="161"/>
      <c r="G70" s="161"/>
      <c r="H70" s="161"/>
      <c r="I70" s="161"/>
      <c r="J70" s="161"/>
    </row>
    <row r="71" spans="1:10">
      <c r="A71" s="412" t="str">
        <f t="shared" si="0"/>
        <v>Wheat</v>
      </c>
      <c r="B71" s="415"/>
      <c r="C71" s="286">
        <v>20</v>
      </c>
      <c r="D71" s="161">
        <f t="shared" ref="D71:J78" si="6">$C71*D18</f>
        <v>0</v>
      </c>
      <c r="E71" s="161">
        <f t="shared" si="6"/>
        <v>0</v>
      </c>
      <c r="F71" s="161">
        <f t="shared" si="6"/>
        <v>0</v>
      </c>
      <c r="G71" s="161">
        <f t="shared" si="6"/>
        <v>0</v>
      </c>
      <c r="H71" s="161">
        <f t="shared" si="6"/>
        <v>0</v>
      </c>
      <c r="I71" s="161">
        <f t="shared" si="6"/>
        <v>0</v>
      </c>
      <c r="J71" s="161">
        <f t="shared" si="6"/>
        <v>0</v>
      </c>
    </row>
    <row r="72" spans="1:10">
      <c r="A72" s="412" t="str">
        <f t="shared" si="0"/>
        <v>Bengal Gram/Channa</v>
      </c>
      <c r="B72" s="415"/>
      <c r="C72" s="286">
        <v>25</v>
      </c>
      <c r="D72" s="161">
        <f t="shared" si="6"/>
        <v>0</v>
      </c>
      <c r="E72" s="161">
        <f t="shared" si="6"/>
        <v>0</v>
      </c>
      <c r="F72" s="161">
        <f t="shared" si="6"/>
        <v>0</v>
      </c>
      <c r="G72" s="161">
        <f t="shared" si="6"/>
        <v>0</v>
      </c>
      <c r="H72" s="161">
        <f t="shared" si="6"/>
        <v>0</v>
      </c>
      <c r="I72" s="161">
        <f t="shared" si="6"/>
        <v>0</v>
      </c>
      <c r="J72" s="161">
        <f t="shared" si="6"/>
        <v>0</v>
      </c>
    </row>
    <row r="73" spans="1:10">
      <c r="A73" s="412" t="str">
        <f t="shared" si="0"/>
        <v>Jawar</v>
      </c>
      <c r="B73" s="415"/>
      <c r="C73" s="286">
        <v>5</v>
      </c>
      <c r="D73" s="161">
        <f t="shared" si="6"/>
        <v>0</v>
      </c>
      <c r="E73" s="161">
        <f t="shared" si="6"/>
        <v>0</v>
      </c>
      <c r="F73" s="161">
        <f t="shared" si="6"/>
        <v>0</v>
      </c>
      <c r="G73" s="161">
        <f t="shared" si="6"/>
        <v>0</v>
      </c>
      <c r="H73" s="161">
        <f t="shared" si="6"/>
        <v>0</v>
      </c>
      <c r="I73" s="161">
        <f t="shared" si="6"/>
        <v>0</v>
      </c>
      <c r="J73" s="161">
        <f t="shared" si="6"/>
        <v>0</v>
      </c>
    </row>
    <row r="74" spans="1:10">
      <c r="A74" s="412" t="str">
        <f t="shared" si="0"/>
        <v>Maize</v>
      </c>
      <c r="B74" s="415"/>
      <c r="C74" s="286">
        <v>20</v>
      </c>
      <c r="D74" s="161">
        <f t="shared" si="6"/>
        <v>0</v>
      </c>
      <c r="E74" s="161">
        <f t="shared" si="6"/>
        <v>0</v>
      </c>
      <c r="F74" s="161">
        <f t="shared" si="6"/>
        <v>0</v>
      </c>
      <c r="G74" s="161">
        <f t="shared" si="6"/>
        <v>0</v>
      </c>
      <c r="H74" s="161">
        <f t="shared" si="6"/>
        <v>0</v>
      </c>
      <c r="I74" s="161">
        <f t="shared" si="6"/>
        <v>0</v>
      </c>
      <c r="J74" s="161">
        <f t="shared" si="6"/>
        <v>0</v>
      </c>
    </row>
    <row r="75" spans="1:10" hidden="1">
      <c r="A75" s="412" t="str">
        <f t="shared" si="0"/>
        <v>Safflower</v>
      </c>
      <c r="B75" s="415"/>
      <c r="C75" s="286"/>
      <c r="D75" s="161">
        <f t="shared" si="6"/>
        <v>0</v>
      </c>
      <c r="E75" s="161">
        <f t="shared" si="6"/>
        <v>0</v>
      </c>
      <c r="F75" s="161">
        <f t="shared" si="6"/>
        <v>0</v>
      </c>
      <c r="G75" s="161">
        <f t="shared" si="6"/>
        <v>0</v>
      </c>
      <c r="H75" s="161">
        <f t="shared" si="6"/>
        <v>0</v>
      </c>
      <c r="I75" s="161">
        <f t="shared" si="6"/>
        <v>0</v>
      </c>
      <c r="J75" s="161">
        <f t="shared" si="6"/>
        <v>0</v>
      </c>
    </row>
    <row r="76" spans="1:10" hidden="1">
      <c r="A76" s="412">
        <f t="shared" si="0"/>
        <v>0</v>
      </c>
      <c r="B76" s="415"/>
      <c r="C76" s="286"/>
      <c r="D76" s="161">
        <f t="shared" si="6"/>
        <v>0</v>
      </c>
      <c r="E76" s="161">
        <f t="shared" si="6"/>
        <v>0</v>
      </c>
      <c r="F76" s="161">
        <f t="shared" si="6"/>
        <v>0</v>
      </c>
      <c r="G76" s="161">
        <f t="shared" si="6"/>
        <v>0</v>
      </c>
      <c r="H76" s="161">
        <f t="shared" si="6"/>
        <v>0</v>
      </c>
      <c r="I76" s="161">
        <f t="shared" si="6"/>
        <v>0</v>
      </c>
      <c r="J76" s="161">
        <f t="shared" si="6"/>
        <v>0</v>
      </c>
    </row>
    <row r="77" spans="1:10" hidden="1">
      <c r="A77" s="412">
        <f t="shared" si="0"/>
        <v>0</v>
      </c>
      <c r="B77" s="415"/>
      <c r="C77" s="286"/>
      <c r="D77" s="161">
        <f t="shared" si="6"/>
        <v>0</v>
      </c>
      <c r="E77" s="161">
        <f t="shared" si="6"/>
        <v>0</v>
      </c>
      <c r="F77" s="161">
        <f t="shared" si="6"/>
        <v>0</v>
      </c>
      <c r="G77" s="161">
        <f t="shared" si="6"/>
        <v>0</v>
      </c>
      <c r="H77" s="161">
        <f t="shared" si="6"/>
        <v>0</v>
      </c>
      <c r="I77" s="161">
        <f t="shared" si="6"/>
        <v>0</v>
      </c>
      <c r="J77" s="161">
        <f t="shared" si="6"/>
        <v>0</v>
      </c>
    </row>
    <row r="78" spans="1:10">
      <c r="A78" s="412">
        <f t="shared" si="0"/>
        <v>0</v>
      </c>
      <c r="B78" s="415"/>
      <c r="C78" s="286"/>
      <c r="D78" s="161">
        <f t="shared" si="6"/>
        <v>0</v>
      </c>
      <c r="E78" s="161">
        <f t="shared" si="6"/>
        <v>0</v>
      </c>
      <c r="F78" s="161">
        <f t="shared" si="6"/>
        <v>0</v>
      </c>
      <c r="G78" s="161">
        <f t="shared" si="6"/>
        <v>0</v>
      </c>
      <c r="H78" s="161">
        <f t="shared" si="6"/>
        <v>0</v>
      </c>
      <c r="I78" s="161">
        <f t="shared" si="6"/>
        <v>0</v>
      </c>
      <c r="J78" s="161">
        <f t="shared" si="6"/>
        <v>0</v>
      </c>
    </row>
    <row r="79" spans="1:10" hidden="1">
      <c r="A79" s="414" t="str">
        <f t="shared" si="0"/>
        <v>Summer</v>
      </c>
      <c r="B79" s="417"/>
      <c r="C79" s="69"/>
      <c r="D79" s="161"/>
      <c r="E79" s="161"/>
      <c r="F79" s="161"/>
      <c r="G79" s="161"/>
      <c r="H79" s="161"/>
      <c r="I79" s="161"/>
      <c r="J79" s="161"/>
    </row>
    <row r="80" spans="1:10" hidden="1">
      <c r="A80" s="412" t="str">
        <f t="shared" si="0"/>
        <v>Groundnut</v>
      </c>
      <c r="B80" s="415"/>
      <c r="C80" s="69"/>
      <c r="D80" s="161">
        <f t="shared" ref="D80:J84" si="7">$C80*D27</f>
        <v>0</v>
      </c>
      <c r="E80" s="161">
        <f t="shared" si="7"/>
        <v>0</v>
      </c>
      <c r="F80" s="161">
        <f t="shared" si="7"/>
        <v>0</v>
      </c>
      <c r="G80" s="161">
        <f t="shared" si="7"/>
        <v>0</v>
      </c>
      <c r="H80" s="161">
        <f t="shared" si="7"/>
        <v>0</v>
      </c>
      <c r="I80" s="161">
        <f t="shared" si="7"/>
        <v>0</v>
      </c>
      <c r="J80" s="161">
        <f t="shared" si="7"/>
        <v>0</v>
      </c>
    </row>
    <row r="81" spans="1:10" hidden="1">
      <c r="A81" s="412">
        <f t="shared" si="0"/>
        <v>0</v>
      </c>
      <c r="B81" s="415"/>
      <c r="C81" s="69"/>
      <c r="D81" s="161">
        <f t="shared" si="7"/>
        <v>0</v>
      </c>
      <c r="E81" s="161">
        <f t="shared" si="7"/>
        <v>0</v>
      </c>
      <c r="F81" s="161">
        <f t="shared" si="7"/>
        <v>0</v>
      </c>
      <c r="G81" s="161">
        <f t="shared" si="7"/>
        <v>0</v>
      </c>
      <c r="H81" s="161">
        <f t="shared" si="7"/>
        <v>0</v>
      </c>
      <c r="I81" s="161">
        <f t="shared" si="7"/>
        <v>0</v>
      </c>
      <c r="J81" s="161">
        <f t="shared" si="7"/>
        <v>0</v>
      </c>
    </row>
    <row r="82" spans="1:10" hidden="1">
      <c r="A82" s="412">
        <f t="shared" si="0"/>
        <v>0</v>
      </c>
      <c r="B82" s="415"/>
      <c r="C82" s="69"/>
      <c r="D82" s="161">
        <f t="shared" si="7"/>
        <v>0</v>
      </c>
      <c r="E82" s="161">
        <f t="shared" si="7"/>
        <v>0</v>
      </c>
      <c r="F82" s="161">
        <f t="shared" si="7"/>
        <v>0</v>
      </c>
      <c r="G82" s="161">
        <f t="shared" si="7"/>
        <v>0</v>
      </c>
      <c r="H82" s="161">
        <f t="shared" si="7"/>
        <v>0</v>
      </c>
      <c r="I82" s="161">
        <f t="shared" si="7"/>
        <v>0</v>
      </c>
      <c r="J82" s="161">
        <f t="shared" si="7"/>
        <v>0</v>
      </c>
    </row>
    <row r="83" spans="1:10" hidden="1">
      <c r="A83" s="412">
        <f t="shared" si="0"/>
        <v>0</v>
      </c>
      <c r="B83" s="415"/>
      <c r="C83" s="69"/>
      <c r="D83" s="161">
        <f t="shared" si="7"/>
        <v>0</v>
      </c>
      <c r="E83" s="161">
        <f t="shared" si="7"/>
        <v>0</v>
      </c>
      <c r="F83" s="161">
        <f t="shared" si="7"/>
        <v>0</v>
      </c>
      <c r="G83" s="161">
        <f t="shared" si="7"/>
        <v>0</v>
      </c>
      <c r="H83" s="161">
        <f t="shared" si="7"/>
        <v>0</v>
      </c>
      <c r="I83" s="161">
        <f t="shared" si="7"/>
        <v>0</v>
      </c>
      <c r="J83" s="161">
        <f t="shared" si="7"/>
        <v>0</v>
      </c>
    </row>
    <row r="84" spans="1:10" hidden="1">
      <c r="A84" s="412">
        <f t="shared" si="0"/>
        <v>0</v>
      </c>
      <c r="B84" s="415"/>
      <c r="C84" s="69"/>
      <c r="D84" s="161">
        <f t="shared" si="7"/>
        <v>0</v>
      </c>
      <c r="E84" s="161">
        <f t="shared" si="7"/>
        <v>0</v>
      </c>
      <c r="F84" s="161">
        <f t="shared" si="7"/>
        <v>0</v>
      </c>
      <c r="G84" s="161">
        <f t="shared" si="7"/>
        <v>0</v>
      </c>
      <c r="H84" s="161">
        <f t="shared" si="7"/>
        <v>0</v>
      </c>
      <c r="I84" s="161">
        <f t="shared" si="7"/>
        <v>0</v>
      </c>
      <c r="J84" s="161">
        <f t="shared" si="7"/>
        <v>0</v>
      </c>
    </row>
    <row r="85" spans="1:10" hidden="1">
      <c r="A85" s="414" t="str">
        <f t="shared" si="0"/>
        <v>Fruit  &amp; Vegetables Crop Production Details</v>
      </c>
      <c r="B85" s="417"/>
      <c r="C85" s="69"/>
      <c r="D85" s="161"/>
      <c r="E85" s="161"/>
      <c r="F85" s="161"/>
      <c r="G85" s="161"/>
      <c r="H85" s="161"/>
      <c r="I85" s="161"/>
      <c r="J85" s="161"/>
    </row>
    <row r="86" spans="1:10" hidden="1">
      <c r="A86" s="412" t="str">
        <f t="shared" si="0"/>
        <v>Exotic Vegitables</v>
      </c>
      <c r="B86" s="415"/>
      <c r="C86" s="69"/>
      <c r="D86" s="161">
        <f t="shared" ref="D86:J95" si="8">$C86*D33</f>
        <v>0</v>
      </c>
      <c r="E86" s="161">
        <f t="shared" si="8"/>
        <v>0</v>
      </c>
      <c r="F86" s="161">
        <f t="shared" si="8"/>
        <v>0</v>
      </c>
      <c r="G86" s="161">
        <f t="shared" si="8"/>
        <v>0</v>
      </c>
      <c r="H86" s="161">
        <f t="shared" si="8"/>
        <v>0</v>
      </c>
      <c r="I86" s="161">
        <f t="shared" si="8"/>
        <v>0</v>
      </c>
      <c r="J86" s="161">
        <f t="shared" si="8"/>
        <v>0</v>
      </c>
    </row>
    <row r="87" spans="1:10" hidden="1">
      <c r="A87" s="412" t="str">
        <f t="shared" si="0"/>
        <v>Tomato</v>
      </c>
      <c r="B87" s="415"/>
      <c r="C87" s="69"/>
      <c r="D87" s="161">
        <f t="shared" si="8"/>
        <v>0</v>
      </c>
      <c r="E87" s="161">
        <f t="shared" si="8"/>
        <v>0</v>
      </c>
      <c r="F87" s="161">
        <f t="shared" si="8"/>
        <v>0</v>
      </c>
      <c r="G87" s="161">
        <f t="shared" si="8"/>
        <v>0</v>
      </c>
      <c r="H87" s="161">
        <f t="shared" si="8"/>
        <v>0</v>
      </c>
      <c r="I87" s="161">
        <f t="shared" si="8"/>
        <v>0</v>
      </c>
      <c r="J87" s="161">
        <f t="shared" si="8"/>
        <v>0</v>
      </c>
    </row>
    <row r="88" spans="1:10" hidden="1">
      <c r="A88" s="412" t="str">
        <f t="shared" si="0"/>
        <v>Okra</v>
      </c>
      <c r="B88" s="415"/>
      <c r="C88" s="69"/>
      <c r="D88" s="161">
        <f t="shared" si="8"/>
        <v>0</v>
      </c>
      <c r="E88" s="161">
        <f t="shared" si="8"/>
        <v>0</v>
      </c>
      <c r="F88" s="161">
        <f t="shared" si="8"/>
        <v>0</v>
      </c>
      <c r="G88" s="161">
        <f t="shared" si="8"/>
        <v>0</v>
      </c>
      <c r="H88" s="161">
        <f t="shared" si="8"/>
        <v>0</v>
      </c>
      <c r="I88" s="161">
        <f t="shared" si="8"/>
        <v>0</v>
      </c>
      <c r="J88" s="161">
        <f t="shared" si="8"/>
        <v>0</v>
      </c>
    </row>
    <row r="89" spans="1:10" hidden="1">
      <c r="A89" s="412" t="str">
        <f t="shared" si="0"/>
        <v>Chilli</v>
      </c>
      <c r="B89" s="415"/>
      <c r="C89" s="69"/>
      <c r="D89" s="161">
        <f t="shared" si="8"/>
        <v>0</v>
      </c>
      <c r="E89" s="161">
        <f t="shared" si="8"/>
        <v>0</v>
      </c>
      <c r="F89" s="161">
        <f t="shared" si="8"/>
        <v>0</v>
      </c>
      <c r="G89" s="161">
        <f t="shared" si="8"/>
        <v>0</v>
      </c>
      <c r="H89" s="161">
        <f t="shared" si="8"/>
        <v>0</v>
      </c>
      <c r="I89" s="161">
        <f t="shared" si="8"/>
        <v>0</v>
      </c>
      <c r="J89" s="161">
        <f t="shared" si="8"/>
        <v>0</v>
      </c>
    </row>
    <row r="90" spans="1:10" hidden="1">
      <c r="A90" s="412" t="str">
        <f t="shared" si="0"/>
        <v>Potato</v>
      </c>
      <c r="B90" s="415"/>
      <c r="C90" s="69"/>
      <c r="D90" s="161">
        <f t="shared" si="8"/>
        <v>0</v>
      </c>
      <c r="E90" s="161">
        <f t="shared" si="8"/>
        <v>0</v>
      </c>
      <c r="F90" s="161">
        <f t="shared" si="8"/>
        <v>0</v>
      </c>
      <c r="G90" s="161">
        <f t="shared" si="8"/>
        <v>0</v>
      </c>
      <c r="H90" s="161">
        <f t="shared" si="8"/>
        <v>0</v>
      </c>
      <c r="I90" s="161">
        <f t="shared" si="8"/>
        <v>0</v>
      </c>
      <c r="J90" s="161">
        <f t="shared" si="8"/>
        <v>0</v>
      </c>
    </row>
    <row r="91" spans="1:10" hidden="1">
      <c r="A91" s="412" t="str">
        <f t="shared" si="0"/>
        <v>Cabbage</v>
      </c>
      <c r="B91" s="415"/>
      <c r="C91" s="69"/>
      <c r="D91" s="161">
        <f t="shared" si="8"/>
        <v>0</v>
      </c>
      <c r="E91" s="161">
        <f t="shared" si="8"/>
        <v>0</v>
      </c>
      <c r="F91" s="161">
        <f t="shared" si="8"/>
        <v>0</v>
      </c>
      <c r="G91" s="161">
        <f t="shared" si="8"/>
        <v>0</v>
      </c>
      <c r="H91" s="161">
        <f t="shared" si="8"/>
        <v>0</v>
      </c>
      <c r="I91" s="161">
        <f t="shared" si="8"/>
        <v>0</v>
      </c>
      <c r="J91" s="161">
        <f t="shared" si="8"/>
        <v>0</v>
      </c>
    </row>
    <row r="92" spans="1:10" hidden="1">
      <c r="A92" s="412" t="str">
        <f t="shared" si="0"/>
        <v>Coliflower</v>
      </c>
      <c r="B92" s="415"/>
      <c r="C92" s="69"/>
      <c r="D92" s="161">
        <f t="shared" si="8"/>
        <v>0</v>
      </c>
      <c r="E92" s="161">
        <f t="shared" si="8"/>
        <v>0</v>
      </c>
      <c r="F92" s="161">
        <f t="shared" si="8"/>
        <v>0</v>
      </c>
      <c r="G92" s="161">
        <f t="shared" si="8"/>
        <v>0</v>
      </c>
      <c r="H92" s="161">
        <f t="shared" si="8"/>
        <v>0</v>
      </c>
      <c r="I92" s="161">
        <f t="shared" si="8"/>
        <v>0</v>
      </c>
      <c r="J92" s="161">
        <f t="shared" si="8"/>
        <v>0</v>
      </c>
    </row>
    <row r="93" spans="1:10" hidden="1">
      <c r="A93" s="412" t="str">
        <f t="shared" ref="A93:A110" si="9">A40</f>
        <v>Bitter Gurd</v>
      </c>
      <c r="B93" s="415"/>
      <c r="C93" s="69"/>
      <c r="D93" s="161">
        <f t="shared" si="8"/>
        <v>0</v>
      </c>
      <c r="E93" s="161">
        <f t="shared" si="8"/>
        <v>0</v>
      </c>
      <c r="F93" s="161">
        <f t="shared" si="8"/>
        <v>0</v>
      </c>
      <c r="G93" s="161">
        <f t="shared" si="8"/>
        <v>0</v>
      </c>
      <c r="H93" s="161">
        <f t="shared" si="8"/>
        <v>0</v>
      </c>
      <c r="I93" s="161">
        <f t="shared" si="8"/>
        <v>0</v>
      </c>
      <c r="J93" s="161">
        <f t="shared" si="8"/>
        <v>0</v>
      </c>
    </row>
    <row r="94" spans="1:10" hidden="1">
      <c r="A94" s="412">
        <f t="shared" si="9"/>
        <v>0</v>
      </c>
      <c r="B94" s="415"/>
      <c r="C94" s="69"/>
      <c r="D94" s="161">
        <f t="shared" si="8"/>
        <v>0</v>
      </c>
      <c r="E94" s="161">
        <f t="shared" si="8"/>
        <v>0</v>
      </c>
      <c r="F94" s="161">
        <f t="shared" si="8"/>
        <v>0</v>
      </c>
      <c r="G94" s="161">
        <f t="shared" si="8"/>
        <v>0</v>
      </c>
      <c r="H94" s="161">
        <f t="shared" si="8"/>
        <v>0</v>
      </c>
      <c r="I94" s="161">
        <f t="shared" si="8"/>
        <v>0</v>
      </c>
      <c r="J94" s="161">
        <f t="shared" si="8"/>
        <v>0</v>
      </c>
    </row>
    <row r="95" spans="1:10" hidden="1">
      <c r="A95" s="412" t="str">
        <f t="shared" si="9"/>
        <v>Exotic Vegitables</v>
      </c>
      <c r="B95" s="415"/>
      <c r="C95" s="69"/>
      <c r="D95" s="161">
        <f t="shared" si="8"/>
        <v>0</v>
      </c>
      <c r="E95" s="161">
        <f t="shared" si="8"/>
        <v>0</v>
      </c>
      <c r="F95" s="161">
        <f t="shared" si="8"/>
        <v>0</v>
      </c>
      <c r="G95" s="161">
        <f t="shared" si="8"/>
        <v>0</v>
      </c>
      <c r="H95" s="161">
        <f t="shared" si="8"/>
        <v>0</v>
      </c>
      <c r="I95" s="161">
        <f t="shared" si="8"/>
        <v>0</v>
      </c>
      <c r="J95" s="161">
        <f t="shared" si="8"/>
        <v>0</v>
      </c>
    </row>
    <row r="96" spans="1:10" hidden="1">
      <c r="A96" s="412" t="str">
        <f t="shared" si="9"/>
        <v>Tomato</v>
      </c>
      <c r="B96" s="415"/>
      <c r="C96" s="69"/>
      <c r="D96" s="161">
        <f t="shared" ref="D96:J105" si="10">$C96*D43</f>
        <v>0</v>
      </c>
      <c r="E96" s="161">
        <f t="shared" si="10"/>
        <v>0</v>
      </c>
      <c r="F96" s="161">
        <f t="shared" si="10"/>
        <v>0</v>
      </c>
      <c r="G96" s="161">
        <f t="shared" si="10"/>
        <v>0</v>
      </c>
      <c r="H96" s="161">
        <f t="shared" si="10"/>
        <v>0</v>
      </c>
      <c r="I96" s="161">
        <f t="shared" si="10"/>
        <v>0</v>
      </c>
      <c r="J96" s="161">
        <f t="shared" si="10"/>
        <v>0</v>
      </c>
    </row>
    <row r="97" spans="1:10" hidden="1">
      <c r="A97" s="412" t="str">
        <f t="shared" si="9"/>
        <v>Okra</v>
      </c>
      <c r="B97" s="415"/>
      <c r="C97" s="69"/>
      <c r="D97" s="161">
        <f t="shared" si="10"/>
        <v>0</v>
      </c>
      <c r="E97" s="161">
        <f t="shared" si="10"/>
        <v>0</v>
      </c>
      <c r="F97" s="161">
        <f t="shared" si="10"/>
        <v>0</v>
      </c>
      <c r="G97" s="161">
        <f t="shared" si="10"/>
        <v>0</v>
      </c>
      <c r="H97" s="161">
        <f t="shared" si="10"/>
        <v>0</v>
      </c>
      <c r="I97" s="161">
        <f t="shared" si="10"/>
        <v>0</v>
      </c>
      <c r="J97" s="161">
        <f t="shared" si="10"/>
        <v>0</v>
      </c>
    </row>
    <row r="98" spans="1:10" hidden="1">
      <c r="A98" s="412" t="str">
        <f t="shared" si="9"/>
        <v>Chilli</v>
      </c>
      <c r="B98" s="415"/>
      <c r="C98" s="69"/>
      <c r="D98" s="161">
        <f t="shared" si="10"/>
        <v>0</v>
      </c>
      <c r="E98" s="161">
        <f t="shared" si="10"/>
        <v>0</v>
      </c>
      <c r="F98" s="161">
        <f t="shared" si="10"/>
        <v>0</v>
      </c>
      <c r="G98" s="161">
        <f t="shared" si="10"/>
        <v>0</v>
      </c>
      <c r="H98" s="161">
        <f t="shared" si="10"/>
        <v>0</v>
      </c>
      <c r="I98" s="161">
        <f t="shared" si="10"/>
        <v>0</v>
      </c>
      <c r="J98" s="161">
        <f t="shared" si="10"/>
        <v>0</v>
      </c>
    </row>
    <row r="99" spans="1:10" hidden="1">
      <c r="A99" s="412" t="str">
        <f t="shared" si="9"/>
        <v>Brinjal</v>
      </c>
      <c r="B99" s="415"/>
      <c r="C99" s="69"/>
      <c r="D99" s="161">
        <f t="shared" si="10"/>
        <v>0</v>
      </c>
      <c r="E99" s="161">
        <f t="shared" si="10"/>
        <v>0</v>
      </c>
      <c r="F99" s="161">
        <f t="shared" si="10"/>
        <v>0</v>
      </c>
      <c r="G99" s="161">
        <f t="shared" si="10"/>
        <v>0</v>
      </c>
      <c r="H99" s="161">
        <f t="shared" si="10"/>
        <v>0</v>
      </c>
      <c r="I99" s="161">
        <f t="shared" si="10"/>
        <v>0</v>
      </c>
      <c r="J99" s="161">
        <f t="shared" si="10"/>
        <v>0</v>
      </c>
    </row>
    <row r="100" spans="1:10" hidden="1">
      <c r="A100" s="412" t="str">
        <f t="shared" si="9"/>
        <v>Ginger</v>
      </c>
      <c r="B100" s="415"/>
      <c r="C100" s="69"/>
      <c r="D100" s="161">
        <f t="shared" si="10"/>
        <v>0</v>
      </c>
      <c r="E100" s="161">
        <f t="shared" si="10"/>
        <v>0</v>
      </c>
      <c r="F100" s="161">
        <f t="shared" si="10"/>
        <v>0</v>
      </c>
      <c r="G100" s="161">
        <f t="shared" si="10"/>
        <v>0</v>
      </c>
      <c r="H100" s="161">
        <f t="shared" si="10"/>
        <v>0</v>
      </c>
      <c r="I100" s="161">
        <f t="shared" si="10"/>
        <v>0</v>
      </c>
      <c r="J100" s="161">
        <f t="shared" si="10"/>
        <v>0</v>
      </c>
    </row>
    <row r="101" spans="1:10" hidden="1">
      <c r="A101" s="412">
        <f t="shared" si="9"/>
        <v>0</v>
      </c>
      <c r="B101" s="415"/>
      <c r="C101" s="69"/>
      <c r="D101" s="161">
        <f t="shared" si="10"/>
        <v>0</v>
      </c>
      <c r="E101" s="161">
        <f t="shared" si="10"/>
        <v>0</v>
      </c>
      <c r="F101" s="161">
        <f t="shared" si="10"/>
        <v>0</v>
      </c>
      <c r="G101" s="161">
        <f t="shared" si="10"/>
        <v>0</v>
      </c>
      <c r="H101" s="161">
        <f t="shared" si="10"/>
        <v>0</v>
      </c>
      <c r="I101" s="161">
        <f t="shared" si="10"/>
        <v>0</v>
      </c>
      <c r="J101" s="161">
        <f t="shared" si="10"/>
        <v>0</v>
      </c>
    </row>
    <row r="102" spans="1:10" hidden="1">
      <c r="A102" s="412">
        <f t="shared" si="9"/>
        <v>0</v>
      </c>
      <c r="B102" s="415"/>
      <c r="C102" s="69"/>
      <c r="D102" s="161">
        <f t="shared" si="10"/>
        <v>0</v>
      </c>
      <c r="E102" s="161">
        <f t="shared" si="10"/>
        <v>0</v>
      </c>
      <c r="F102" s="161">
        <f t="shared" si="10"/>
        <v>0</v>
      </c>
      <c r="G102" s="161">
        <f t="shared" si="10"/>
        <v>0</v>
      </c>
      <c r="H102" s="161">
        <f t="shared" si="10"/>
        <v>0</v>
      </c>
      <c r="I102" s="161">
        <f t="shared" si="10"/>
        <v>0</v>
      </c>
      <c r="J102" s="161">
        <f t="shared" si="10"/>
        <v>0</v>
      </c>
    </row>
    <row r="103" spans="1:10" hidden="1">
      <c r="A103" s="412" t="str">
        <f t="shared" si="9"/>
        <v>Spinach</v>
      </c>
      <c r="B103" s="415"/>
      <c r="C103" s="69"/>
      <c r="D103" s="161">
        <f t="shared" si="10"/>
        <v>0</v>
      </c>
      <c r="E103" s="161">
        <f t="shared" si="10"/>
        <v>0</v>
      </c>
      <c r="F103" s="161">
        <f t="shared" si="10"/>
        <v>0</v>
      </c>
      <c r="G103" s="161">
        <f t="shared" si="10"/>
        <v>0</v>
      </c>
      <c r="H103" s="161">
        <f t="shared" si="10"/>
        <v>0</v>
      </c>
      <c r="I103" s="161">
        <f t="shared" si="10"/>
        <v>0</v>
      </c>
      <c r="J103" s="161">
        <f t="shared" si="10"/>
        <v>0</v>
      </c>
    </row>
    <row r="104" spans="1:10" hidden="1">
      <c r="A104" s="412" t="str">
        <f t="shared" si="9"/>
        <v>Fenugreek</v>
      </c>
      <c r="B104" s="415"/>
      <c r="C104" s="69"/>
      <c r="D104" s="161">
        <f t="shared" si="10"/>
        <v>0</v>
      </c>
      <c r="E104" s="161">
        <f t="shared" si="10"/>
        <v>0</v>
      </c>
      <c r="F104" s="161">
        <f t="shared" si="10"/>
        <v>0</v>
      </c>
      <c r="G104" s="161">
        <f t="shared" si="10"/>
        <v>0</v>
      </c>
      <c r="H104" s="161">
        <f t="shared" si="10"/>
        <v>0</v>
      </c>
      <c r="I104" s="161">
        <f t="shared" si="10"/>
        <v>0</v>
      </c>
      <c r="J104" s="161">
        <f t="shared" si="10"/>
        <v>0</v>
      </c>
    </row>
    <row r="105" spans="1:10" hidden="1">
      <c r="A105" s="412" t="str">
        <f t="shared" si="9"/>
        <v>coriander</v>
      </c>
      <c r="B105" s="415"/>
      <c r="C105" s="69"/>
      <c r="D105" s="161">
        <f t="shared" si="10"/>
        <v>0</v>
      </c>
      <c r="E105" s="161">
        <f t="shared" si="10"/>
        <v>0</v>
      </c>
      <c r="F105" s="161">
        <f t="shared" si="10"/>
        <v>0</v>
      </c>
      <c r="G105" s="161">
        <f t="shared" si="10"/>
        <v>0</v>
      </c>
      <c r="H105" s="161">
        <f t="shared" si="10"/>
        <v>0</v>
      </c>
      <c r="I105" s="161">
        <f t="shared" si="10"/>
        <v>0</v>
      </c>
      <c r="J105" s="161">
        <f t="shared" si="10"/>
        <v>0</v>
      </c>
    </row>
    <row r="106" spans="1:10" hidden="1">
      <c r="A106" s="412" t="str">
        <f t="shared" si="9"/>
        <v>Shepu</v>
      </c>
      <c r="B106" s="415"/>
      <c r="C106" s="69"/>
      <c r="D106" s="161">
        <f t="shared" ref="D106:J110" si="11">$C106*D53</f>
        <v>0</v>
      </c>
      <c r="E106" s="161">
        <f t="shared" si="11"/>
        <v>0</v>
      </c>
      <c r="F106" s="161">
        <f t="shared" si="11"/>
        <v>0</v>
      </c>
      <c r="G106" s="161">
        <f t="shared" si="11"/>
        <v>0</v>
      </c>
      <c r="H106" s="161">
        <f t="shared" si="11"/>
        <v>0</v>
      </c>
      <c r="I106" s="161">
        <f t="shared" si="11"/>
        <v>0</v>
      </c>
      <c r="J106" s="161">
        <f t="shared" si="11"/>
        <v>0</v>
      </c>
    </row>
    <row r="107" spans="1:10" hidden="1">
      <c r="A107" s="412" t="str">
        <f t="shared" si="9"/>
        <v>Pomegranate</v>
      </c>
      <c r="B107" s="415"/>
      <c r="C107" s="69"/>
      <c r="D107" s="161">
        <f t="shared" si="11"/>
        <v>0</v>
      </c>
      <c r="E107" s="161">
        <f t="shared" si="11"/>
        <v>0</v>
      </c>
      <c r="F107" s="161">
        <f t="shared" si="11"/>
        <v>0</v>
      </c>
      <c r="G107" s="161">
        <f t="shared" si="11"/>
        <v>0</v>
      </c>
      <c r="H107" s="161">
        <f t="shared" si="11"/>
        <v>0</v>
      </c>
      <c r="I107" s="161">
        <f t="shared" si="11"/>
        <v>0</v>
      </c>
      <c r="J107" s="161">
        <f t="shared" si="11"/>
        <v>0</v>
      </c>
    </row>
    <row r="108" spans="1:10" hidden="1">
      <c r="A108" s="412" t="str">
        <f t="shared" si="9"/>
        <v>Banana</v>
      </c>
      <c r="B108" s="415"/>
      <c r="C108" s="69"/>
      <c r="D108" s="161">
        <f t="shared" si="11"/>
        <v>0</v>
      </c>
      <c r="E108" s="161">
        <f t="shared" si="11"/>
        <v>0</v>
      </c>
      <c r="F108" s="161">
        <f t="shared" si="11"/>
        <v>0</v>
      </c>
      <c r="G108" s="161">
        <f t="shared" si="11"/>
        <v>0</v>
      </c>
      <c r="H108" s="161">
        <f t="shared" si="11"/>
        <v>0</v>
      </c>
      <c r="I108" s="161">
        <f t="shared" si="11"/>
        <v>0</v>
      </c>
      <c r="J108" s="161">
        <f t="shared" si="11"/>
        <v>0</v>
      </c>
    </row>
    <row r="109" spans="1:10" hidden="1">
      <c r="A109" s="412" t="str">
        <f t="shared" si="9"/>
        <v>Graps</v>
      </c>
      <c r="B109" s="415"/>
      <c r="C109" s="69"/>
      <c r="D109" s="161">
        <f t="shared" si="11"/>
        <v>0</v>
      </c>
      <c r="E109" s="161">
        <f t="shared" si="11"/>
        <v>0</v>
      </c>
      <c r="F109" s="161">
        <f t="shared" si="11"/>
        <v>0</v>
      </c>
      <c r="G109" s="161">
        <f t="shared" si="11"/>
        <v>0</v>
      </c>
      <c r="H109" s="161">
        <f t="shared" si="11"/>
        <v>0</v>
      </c>
      <c r="I109" s="161">
        <f t="shared" si="11"/>
        <v>0</v>
      </c>
      <c r="J109" s="161">
        <f t="shared" si="11"/>
        <v>0</v>
      </c>
    </row>
    <row r="110" spans="1:10" hidden="1">
      <c r="A110" s="412" t="str">
        <f t="shared" si="9"/>
        <v>Citrus</v>
      </c>
      <c r="B110" s="415"/>
      <c r="C110" s="69"/>
      <c r="D110" s="161">
        <f t="shared" si="11"/>
        <v>0</v>
      </c>
      <c r="E110" s="161">
        <f t="shared" si="11"/>
        <v>0</v>
      </c>
      <c r="F110" s="161">
        <f t="shared" si="11"/>
        <v>0</v>
      </c>
      <c r="G110" s="161">
        <f t="shared" si="11"/>
        <v>0</v>
      </c>
      <c r="H110" s="161">
        <f t="shared" si="11"/>
        <v>0</v>
      </c>
      <c r="I110" s="161">
        <f t="shared" si="11"/>
        <v>0</v>
      </c>
      <c r="J110" s="161">
        <f t="shared" si="11"/>
        <v>0</v>
      </c>
    </row>
    <row r="111" spans="1:10" hidden="1">
      <c r="A111" s="412"/>
      <c r="B111" s="415"/>
      <c r="C111" s="69"/>
      <c r="D111" s="161"/>
      <c r="E111" s="161"/>
      <c r="F111" s="161"/>
      <c r="G111" s="161"/>
      <c r="H111" s="161"/>
      <c r="I111" s="161"/>
      <c r="J111" s="161"/>
    </row>
    <row r="112" spans="1:10" hidden="1">
      <c r="A112" s="412"/>
      <c r="B112" s="415"/>
      <c r="C112" s="69"/>
      <c r="D112" s="161"/>
      <c r="E112" s="161"/>
      <c r="F112" s="161"/>
      <c r="G112" s="161"/>
      <c r="H112" s="161"/>
      <c r="I112" s="161"/>
      <c r="J112" s="161"/>
    </row>
    <row r="113" spans="1:23">
      <c r="A113" s="414" t="s">
        <v>185</v>
      </c>
      <c r="B113" s="417"/>
      <c r="C113" s="69"/>
      <c r="D113" s="69"/>
      <c r="E113" s="69"/>
      <c r="F113" s="69"/>
      <c r="G113" s="69"/>
      <c r="H113" s="69"/>
      <c r="I113" s="69"/>
      <c r="J113" s="69"/>
    </row>
    <row r="114" spans="1:23">
      <c r="A114" s="412" t="s">
        <v>408</v>
      </c>
      <c r="B114" s="415"/>
      <c r="C114" s="69">
        <v>100</v>
      </c>
      <c r="D114" s="161">
        <f t="shared" ref="D114:J114" si="12">SUM(D62:D110)*$C$114</f>
        <v>0</v>
      </c>
      <c r="E114" s="161">
        <f t="shared" si="12"/>
        <v>0</v>
      </c>
      <c r="F114" s="161">
        <f t="shared" si="12"/>
        <v>0</v>
      </c>
      <c r="G114" s="161">
        <f t="shared" si="12"/>
        <v>0</v>
      </c>
      <c r="H114" s="161">
        <f t="shared" si="12"/>
        <v>0</v>
      </c>
      <c r="I114" s="161">
        <f t="shared" si="12"/>
        <v>0</v>
      </c>
      <c r="J114" s="161">
        <f t="shared" si="12"/>
        <v>0</v>
      </c>
    </row>
    <row r="115" spans="1:23">
      <c r="A115" s="412" t="s">
        <v>179</v>
      </c>
      <c r="B115" s="415"/>
      <c r="C115" s="69">
        <v>30</v>
      </c>
      <c r="D115" s="161">
        <f t="shared" ref="D115:J115" si="13">SUM(D62:D110)*$C$115</f>
        <v>0</v>
      </c>
      <c r="E115" s="161">
        <f t="shared" si="13"/>
        <v>0</v>
      </c>
      <c r="F115" s="161">
        <f t="shared" si="13"/>
        <v>0</v>
      </c>
      <c r="G115" s="161">
        <f t="shared" si="13"/>
        <v>0</v>
      </c>
      <c r="H115" s="161">
        <f t="shared" si="13"/>
        <v>0</v>
      </c>
      <c r="I115" s="161">
        <f t="shared" si="13"/>
        <v>0</v>
      </c>
      <c r="J115" s="161">
        <f t="shared" si="13"/>
        <v>0</v>
      </c>
    </row>
    <row r="116" spans="1:23">
      <c r="A116" s="412" t="s">
        <v>181</v>
      </c>
      <c r="B116" s="415"/>
      <c r="C116" s="69">
        <v>30</v>
      </c>
      <c r="D116" s="161">
        <f t="shared" ref="D116:J116" si="14">SUM(D62:D110)*$C$116</f>
        <v>0</v>
      </c>
      <c r="E116" s="161">
        <f t="shared" si="14"/>
        <v>0</v>
      </c>
      <c r="F116" s="161">
        <f t="shared" si="14"/>
        <v>0</v>
      </c>
      <c r="G116" s="161">
        <f t="shared" si="14"/>
        <v>0</v>
      </c>
      <c r="H116" s="161">
        <f t="shared" si="14"/>
        <v>0</v>
      </c>
      <c r="I116" s="161">
        <f t="shared" si="14"/>
        <v>0</v>
      </c>
      <c r="J116" s="161">
        <f t="shared" si="14"/>
        <v>0</v>
      </c>
    </row>
    <row r="117" spans="1:23">
      <c r="A117" s="414" t="s">
        <v>180</v>
      </c>
      <c r="B117" s="417"/>
      <c r="C117" s="69"/>
      <c r="D117" s="69"/>
      <c r="E117" s="69"/>
      <c r="F117" s="69"/>
      <c r="G117" s="69"/>
      <c r="H117" s="69"/>
      <c r="I117" s="69"/>
      <c r="J117" s="69"/>
    </row>
    <row r="118" spans="1:23">
      <c r="A118" s="412" t="s">
        <v>186</v>
      </c>
      <c r="B118" s="415"/>
      <c r="C118" s="69">
        <v>0.2</v>
      </c>
      <c r="D118" s="161">
        <f t="shared" ref="D118:J118" si="15">SUM(D62:D110)*$C$118</f>
        <v>0</v>
      </c>
      <c r="E118" s="161">
        <f t="shared" si="15"/>
        <v>0</v>
      </c>
      <c r="F118" s="161">
        <f t="shared" si="15"/>
        <v>0</v>
      </c>
      <c r="G118" s="161">
        <f t="shared" si="15"/>
        <v>0</v>
      </c>
      <c r="H118" s="161">
        <f t="shared" si="15"/>
        <v>0</v>
      </c>
      <c r="I118" s="161">
        <f t="shared" si="15"/>
        <v>0</v>
      </c>
      <c r="J118" s="161">
        <f t="shared" si="15"/>
        <v>0</v>
      </c>
    </row>
    <row r="119" spans="1:23">
      <c r="A119" s="412" t="s">
        <v>187</v>
      </c>
      <c r="B119" s="415"/>
      <c r="C119" s="69">
        <v>0.5</v>
      </c>
      <c r="D119" s="161">
        <f t="shared" ref="D119:J119" si="16">SUM(D62:D110)*$C$119</f>
        <v>0</v>
      </c>
      <c r="E119" s="161">
        <f t="shared" si="16"/>
        <v>0</v>
      </c>
      <c r="F119" s="161">
        <f t="shared" si="16"/>
        <v>0</v>
      </c>
      <c r="G119" s="161">
        <f t="shared" si="16"/>
        <v>0</v>
      </c>
      <c r="H119" s="161">
        <f t="shared" si="16"/>
        <v>0</v>
      </c>
      <c r="I119" s="161">
        <f t="shared" si="16"/>
        <v>0</v>
      </c>
      <c r="J119" s="161">
        <f t="shared" si="16"/>
        <v>0</v>
      </c>
    </row>
    <row r="122" spans="1:23" ht="18.75">
      <c r="A122" s="724" t="s">
        <v>2008</v>
      </c>
      <c r="B122" s="724"/>
      <c r="C122" s="724"/>
      <c r="D122" s="724"/>
      <c r="E122" s="724"/>
      <c r="F122" s="724"/>
      <c r="G122" s="724"/>
      <c r="H122" s="724"/>
      <c r="I122" s="724"/>
      <c r="J122" s="724"/>
    </row>
    <row r="123" spans="1:23" ht="4.5" customHeight="1">
      <c r="A123" s="11"/>
      <c r="B123" s="11"/>
      <c r="C123" s="11"/>
      <c r="D123" s="11"/>
      <c r="E123" s="11"/>
      <c r="F123" s="11"/>
      <c r="G123" s="11"/>
      <c r="H123" s="11"/>
    </row>
    <row r="124" spans="1:23">
      <c r="A124" s="156"/>
      <c r="B124" s="156"/>
      <c r="C124" s="156"/>
      <c r="D124" s="157">
        <v>1</v>
      </c>
      <c r="E124" s="158">
        <f t="shared" ref="E124:J124" si="17">(D124*5%)+D124</f>
        <v>1.05</v>
      </c>
      <c r="F124" s="158">
        <f t="shared" si="17"/>
        <v>1.1025</v>
      </c>
      <c r="G124" s="158">
        <f t="shared" si="17"/>
        <v>1.1576250000000001</v>
      </c>
      <c r="H124" s="158">
        <f t="shared" si="17"/>
        <v>1.2155062500000002</v>
      </c>
      <c r="I124" s="158">
        <f t="shared" si="17"/>
        <v>1.2762815625000004</v>
      </c>
      <c r="J124" s="158">
        <f t="shared" si="17"/>
        <v>1.3400956406250004</v>
      </c>
      <c r="K124" s="68"/>
      <c r="U124" s="68"/>
      <c r="V124" s="68"/>
      <c r="W124" s="68"/>
    </row>
    <row r="125" spans="1:23" ht="3.75" customHeight="1">
      <c r="A125" s="68"/>
      <c r="B125" s="68"/>
      <c r="C125" s="68"/>
      <c r="D125" s="68"/>
      <c r="E125" s="68"/>
      <c r="F125" s="68"/>
      <c r="G125" s="68"/>
      <c r="H125" s="68"/>
      <c r="I125" s="68"/>
      <c r="J125" s="68"/>
      <c r="K125" s="68"/>
      <c r="U125" s="68"/>
      <c r="V125" s="68"/>
      <c r="W125" s="68"/>
    </row>
    <row r="126" spans="1:23">
      <c r="A126" s="119" t="s">
        <v>0</v>
      </c>
      <c r="B126" s="119" t="s">
        <v>132</v>
      </c>
      <c r="C126" s="119" t="s">
        <v>153</v>
      </c>
      <c r="D126" s="91" t="s">
        <v>2</v>
      </c>
      <c r="E126" s="91" t="s">
        <v>3</v>
      </c>
      <c r="F126" s="91" t="s">
        <v>4</v>
      </c>
      <c r="G126" s="91" t="s">
        <v>5</v>
      </c>
      <c r="H126" s="91" t="s">
        <v>6</v>
      </c>
      <c r="I126" s="91" t="s">
        <v>170</v>
      </c>
      <c r="J126" s="91" t="s">
        <v>169</v>
      </c>
      <c r="K126" s="68"/>
      <c r="U126" s="68"/>
      <c r="V126" s="68"/>
      <c r="W126" s="68"/>
    </row>
    <row r="127" spans="1:23">
      <c r="A127" s="71" t="s">
        <v>126</v>
      </c>
      <c r="B127" s="69"/>
      <c r="C127" s="69"/>
      <c r="D127" s="69"/>
      <c r="E127" s="69"/>
      <c r="F127" s="69"/>
      <c r="G127" s="69"/>
      <c r="H127" s="69"/>
      <c r="I127" s="69"/>
      <c r="J127" s="69"/>
      <c r="K127" s="68"/>
      <c r="U127" s="68"/>
      <c r="V127" s="68"/>
      <c r="W127" s="68"/>
    </row>
    <row r="128" spans="1:23">
      <c r="A128" s="69" t="s">
        <v>288</v>
      </c>
      <c r="B128" s="69"/>
      <c r="C128" s="69"/>
      <c r="D128" s="69"/>
      <c r="E128" s="69"/>
      <c r="F128" s="69"/>
      <c r="G128" s="69"/>
      <c r="H128" s="69"/>
      <c r="I128" s="69"/>
      <c r="J128" s="69"/>
      <c r="K128" s="68"/>
      <c r="U128" s="68"/>
      <c r="V128" s="68"/>
      <c r="W128" s="68"/>
    </row>
    <row r="129" spans="1:23">
      <c r="A129" s="71" t="str">
        <f t="shared" ref="A129:A160" si="18">A8</f>
        <v>Kharif Crops</v>
      </c>
      <c r="B129" s="69"/>
      <c r="C129" s="69"/>
      <c r="D129" s="69"/>
      <c r="E129" s="69"/>
      <c r="F129" s="69"/>
      <c r="G129" s="69"/>
      <c r="H129" s="69"/>
      <c r="I129" s="69"/>
      <c r="J129" s="69"/>
      <c r="K129" s="68"/>
      <c r="U129" s="68"/>
      <c r="V129" s="68"/>
      <c r="W129" s="68"/>
    </row>
    <row r="130" spans="1:23">
      <c r="A130" s="69" t="str">
        <f t="shared" si="18"/>
        <v>Soybean</v>
      </c>
      <c r="B130" s="69"/>
      <c r="C130" s="69">
        <v>80</v>
      </c>
      <c r="D130" s="70">
        <f>(D62*(1-'5.Closing Stock &amp; W Capital'!$D$15))*$C$130*D$124</f>
        <v>0</v>
      </c>
      <c r="E130" s="70">
        <f>(E62*(1-'5.Closing Stock &amp; W Capital'!$D$15))*$C$130*E$124</f>
        <v>0</v>
      </c>
      <c r="F130" s="70">
        <f>(F62*(1-'5.Closing Stock &amp; W Capital'!$D$15))*$C$130*F$124</f>
        <v>0</v>
      </c>
      <c r="G130" s="70">
        <f>(G62*(1-'5.Closing Stock &amp; W Capital'!$D$15))*$C$130*G$124</f>
        <v>0</v>
      </c>
      <c r="H130" s="70">
        <f>(H62*(1-'5.Closing Stock &amp; W Capital'!$D$15))*$C$130*H$124</f>
        <v>0</v>
      </c>
      <c r="I130" s="70">
        <f>(I62*(1-'5.Closing Stock &amp; W Capital'!$D$15))*$C$130*I$124</f>
        <v>0</v>
      </c>
      <c r="J130" s="70">
        <f>(J62*(1-'5.Closing Stock &amp; W Capital'!$D$15))*$C$130*J$124</f>
        <v>0</v>
      </c>
      <c r="K130" s="68">
        <v>90</v>
      </c>
      <c r="U130" s="68"/>
      <c r="V130" s="68"/>
      <c r="W130" s="68"/>
    </row>
    <row r="131" spans="1:23">
      <c r="A131" s="69" t="str">
        <f t="shared" si="18"/>
        <v>Red Gram/Tur</v>
      </c>
      <c r="B131" s="69"/>
      <c r="C131" s="159">
        <v>76</v>
      </c>
      <c r="D131" s="70">
        <f>(D63*(1-'5.Closing Stock &amp; W Capital'!$D$15))*$C$131*D$124</f>
        <v>0</v>
      </c>
      <c r="E131" s="70">
        <f>((E63*(1-'5.Closing Stock &amp; W Capital'!$D$15))+(D63*'5.Closing Stock &amp; W Capital'!$D$15))*$C$131*E$124</f>
        <v>0</v>
      </c>
      <c r="F131" s="70">
        <f>((F63*(1-'5.Closing Stock &amp; W Capital'!$D$15))+(E63*'5.Closing Stock &amp; W Capital'!$D$15))*$C$131*F$124</f>
        <v>0</v>
      </c>
      <c r="G131" s="70">
        <f>((G63*(1-'5.Closing Stock &amp; W Capital'!$D$15))+(F63*'5.Closing Stock &amp; W Capital'!$D$15))*$C$131*G124</f>
        <v>0</v>
      </c>
      <c r="H131" s="70">
        <f>((H63*(1-'5.Closing Stock &amp; W Capital'!$D$15))+(G63*'5.Closing Stock &amp; W Capital'!$D$15))*$C$131*H124</f>
        <v>0</v>
      </c>
      <c r="I131" s="70">
        <f>((I63*(1-'5.Closing Stock &amp; W Capital'!$D$15))+(H63*'5.Closing Stock &amp; W Capital'!$D$15))*$C$131*I124</f>
        <v>0</v>
      </c>
      <c r="J131" s="70">
        <f>((J63*(1-'5.Closing Stock &amp; W Capital'!$D$15))+(I63*'5.Closing Stock &amp; W Capital'!$D$15))*$C$131*J124</f>
        <v>0</v>
      </c>
      <c r="K131" s="68">
        <v>0</v>
      </c>
      <c r="U131" s="148"/>
      <c r="V131" s="68"/>
      <c r="W131" s="68"/>
    </row>
    <row r="132" spans="1:23" hidden="1">
      <c r="A132" s="69" t="str">
        <f t="shared" si="18"/>
        <v>Paddy/Rice</v>
      </c>
      <c r="B132" s="69"/>
      <c r="C132" s="159">
        <v>0</v>
      </c>
      <c r="D132" s="70">
        <f>(D64*(1-'5.Closing Stock &amp; W Capital'!$D$15))*$C$132*D$124</f>
        <v>0</v>
      </c>
      <c r="E132" s="70">
        <f>((E64*(1-'5.Closing Stock &amp; W Capital'!$D$15))+(D64*'5.Closing Stock &amp; W Capital'!$D$15))*$C$132*E$124</f>
        <v>0</v>
      </c>
      <c r="F132" s="70">
        <f>((F64*(1-'5.Closing Stock &amp; W Capital'!$D$15))+(E64*'5.Closing Stock &amp; W Capital'!$D$15))*$C$132*F$124</f>
        <v>0</v>
      </c>
      <c r="G132" s="70">
        <f>((G64*(1-'5.Closing Stock &amp; W Capital'!$D$15))+(F64*'5.Closing Stock &amp; W Capital'!$D$15))*$C$132*G124</f>
        <v>0</v>
      </c>
      <c r="H132" s="70">
        <f>((H64*(1-'5.Closing Stock &amp; W Capital'!$D$15))+(G64*'5.Closing Stock &amp; W Capital'!$D$15))*$C$132*H124</f>
        <v>0</v>
      </c>
      <c r="I132" s="70">
        <f>((I64*(1-'5.Closing Stock &amp; W Capital'!$D$15))+(H64*'5.Closing Stock &amp; W Capital'!$D$15))*$C$132*I124</f>
        <v>0</v>
      </c>
      <c r="J132" s="70">
        <f>((J64*(1-'5.Closing Stock &amp; W Capital'!$D$15))+(I64*'5.Closing Stock &amp; W Capital'!$D$15))*$C$132*J124</f>
        <v>0</v>
      </c>
      <c r="K132" s="68"/>
      <c r="U132" s="68"/>
      <c r="V132" s="68"/>
      <c r="W132" s="68"/>
    </row>
    <row r="133" spans="1:23">
      <c r="A133" s="69" t="str">
        <f t="shared" si="18"/>
        <v>Green Gram/ Moong</v>
      </c>
      <c r="B133" s="69"/>
      <c r="C133" s="159">
        <v>82</v>
      </c>
      <c r="D133" s="70">
        <f>(D65*(1-'5.Closing Stock &amp; W Capital'!$D$15))*$C$133*D$124</f>
        <v>0</v>
      </c>
      <c r="E133" s="70">
        <f>((E65*(1-'5.Closing Stock &amp; W Capital'!$D$15))+(D65*'5.Closing Stock &amp; W Capital'!$D$15))*$C$133*E$124</f>
        <v>0</v>
      </c>
      <c r="F133" s="70">
        <f>((F65*(1-'5.Closing Stock &amp; W Capital'!$D$15))+(E65*'5.Closing Stock &amp; W Capital'!$D$15))*$C$133*F$124</f>
        <v>0</v>
      </c>
      <c r="G133" s="70">
        <f>((G65*(1-'5.Closing Stock &amp; W Capital'!$D$15))+(F65*'5.Closing Stock &amp; W Capital'!$D$15))*$C$133*G$124</f>
        <v>0</v>
      </c>
      <c r="H133" s="70">
        <f>((H65*(1-'5.Closing Stock &amp; W Capital'!$D$15))+(G65*'5.Closing Stock &amp; W Capital'!$D$15))*$C$133*H$124</f>
        <v>0</v>
      </c>
      <c r="I133" s="70">
        <f>((I65*(1-'5.Closing Stock &amp; W Capital'!$D$15))+(H65*'5.Closing Stock &amp; W Capital'!$D$15))*$C$133*I$124</f>
        <v>0</v>
      </c>
      <c r="J133" s="70">
        <f>((J65*(1-'5.Closing Stock &amp; W Capital'!$D$15))+(I65*'5.Closing Stock &amp; W Capital'!$D$15))*$C$133*J$124</f>
        <v>0</v>
      </c>
      <c r="K133" s="68">
        <v>85</v>
      </c>
      <c r="U133" s="68"/>
      <c r="V133" s="68"/>
      <c r="W133" s="68"/>
    </row>
    <row r="134" spans="1:23">
      <c r="A134" s="69" t="str">
        <f t="shared" si="18"/>
        <v>Maize</v>
      </c>
      <c r="B134" s="69"/>
      <c r="C134" s="159">
        <v>30</v>
      </c>
      <c r="D134" s="70">
        <f>(D66*(1-'5.Closing Stock &amp; W Capital'!$D$15))*$C$134*D$124</f>
        <v>0</v>
      </c>
      <c r="E134" s="70">
        <f>((E66*(1-'5.Closing Stock &amp; W Capital'!$D$15))+(D66*'5.Closing Stock &amp; W Capital'!$D$15))*$C$135*E$124</f>
        <v>0</v>
      </c>
      <c r="F134" s="70">
        <f>((F66*(1-'5.Closing Stock &amp; W Capital'!$D$15))+(E66*'5.Closing Stock &amp; W Capital'!$D$15))*$C$135*F$124</f>
        <v>0</v>
      </c>
      <c r="G134" s="70">
        <f>((G66*(1-'5.Closing Stock &amp; W Capital'!$D$15))+(F66*'5.Closing Stock &amp; W Capital'!$D$15))*$C$135*G$124</f>
        <v>0</v>
      </c>
      <c r="H134" s="70">
        <f>((H66*(1-'5.Closing Stock &amp; W Capital'!$D$15))+(G66*'5.Closing Stock &amp; W Capital'!$D$15))*$C$135*H$124</f>
        <v>0</v>
      </c>
      <c r="I134" s="70">
        <f>((I66*(1-'5.Closing Stock &amp; W Capital'!$D$15))+(H66*'5.Closing Stock &amp; W Capital'!$D$15))*$C$135*I$124</f>
        <v>0</v>
      </c>
      <c r="J134" s="70">
        <f>((J66*(1-'5.Closing Stock &amp; W Capital'!$D$15))+(I66*'5.Closing Stock &amp; W Capital'!$D$15))*$C$135*J$124</f>
        <v>0</v>
      </c>
      <c r="K134" s="68">
        <v>37</v>
      </c>
      <c r="U134" s="68"/>
      <c r="V134" s="68"/>
      <c r="W134" s="68"/>
    </row>
    <row r="135" spans="1:23">
      <c r="A135" s="69" t="str">
        <f t="shared" si="18"/>
        <v>Black Gram/Udid</v>
      </c>
      <c r="B135" s="69"/>
      <c r="C135" s="159">
        <v>75</v>
      </c>
      <c r="D135" s="70">
        <f>(D67*(1-'5.Closing Stock &amp; W Capital'!$D$15))*$C$135*D$124</f>
        <v>0</v>
      </c>
      <c r="E135" s="70">
        <f>((E67*(1-'5.Closing Stock &amp; W Capital'!$D$15))+(D67*'5.Closing Stock &amp; W Capital'!$D$15))*$C$135*E$124</f>
        <v>0</v>
      </c>
      <c r="F135" s="70">
        <f>((F67*(1-'5.Closing Stock &amp; W Capital'!$D$15))+(E67*'5.Closing Stock &amp; W Capital'!$D$15))*$C$135*F$124</f>
        <v>0</v>
      </c>
      <c r="G135" s="70">
        <f>((G67*(1-'5.Closing Stock &amp; W Capital'!$D$15))+(F67*'5.Closing Stock &amp; W Capital'!$D$15))*$C$135*G$124</f>
        <v>0</v>
      </c>
      <c r="H135" s="70">
        <f>((H67*(1-'5.Closing Stock &amp; W Capital'!$D$15))+(G67*'5.Closing Stock &amp; W Capital'!$D$15))*$C$135*H$124</f>
        <v>0</v>
      </c>
      <c r="I135" s="70">
        <f>((I67*(1-'5.Closing Stock &amp; W Capital'!$D$15))+(H67*'5.Closing Stock &amp; W Capital'!$D$15))*$C$135*I$124</f>
        <v>0</v>
      </c>
      <c r="J135" s="70">
        <f>((J67*(1-'5.Closing Stock &amp; W Capital'!$D$15))+(I67*'5.Closing Stock &amp; W Capital'!$D$15))*$C$135*J$124</f>
        <v>0</v>
      </c>
      <c r="K135" s="68"/>
      <c r="U135" s="68"/>
      <c r="V135" s="68"/>
      <c r="W135" s="68"/>
    </row>
    <row r="136" spans="1:23">
      <c r="A136" s="69" t="str">
        <f t="shared" si="18"/>
        <v>Bajra</v>
      </c>
      <c r="B136" s="69"/>
      <c r="C136" s="159">
        <v>27</v>
      </c>
      <c r="D136" s="70">
        <f>(D68*(1-'5.Closing Stock &amp; W Capital'!$D$15))*$C$136*D$124</f>
        <v>0</v>
      </c>
      <c r="E136" s="70">
        <f>((E68*(1-'5.Closing Stock &amp; W Capital'!$D$15))+(D68*'5.Closing Stock &amp; W Capital'!$D$15))*$C$136*E$124</f>
        <v>0</v>
      </c>
      <c r="F136" s="70">
        <f>((F68*(1-'5.Closing Stock &amp; W Capital'!$D$15))+(E68*'5.Closing Stock &amp; W Capital'!$D$15))*$C$136*F$124</f>
        <v>0</v>
      </c>
      <c r="G136" s="70">
        <f>((G68*(1-'5.Closing Stock &amp; W Capital'!$D$15))+(F68*'5.Closing Stock &amp; W Capital'!$D$15))*$C$136*G$124</f>
        <v>0</v>
      </c>
      <c r="H136" s="70">
        <f>((H68*(1-'5.Closing Stock &amp; W Capital'!$D$15))+(G68*'5.Closing Stock &amp; W Capital'!$D$15))*$C$136*H$124</f>
        <v>0</v>
      </c>
      <c r="I136" s="70">
        <f>((I68*(1-'5.Closing Stock &amp; W Capital'!$D$15))+(H68*'5.Closing Stock &amp; W Capital'!$D$15))*$C$136*I$124</f>
        <v>0</v>
      </c>
      <c r="J136" s="70">
        <f>((J68*(1-'5.Closing Stock &amp; W Capital'!$D$15))+(I68*'5.Closing Stock &amp; W Capital'!$D$15))*$C$136*J$124</f>
        <v>0</v>
      </c>
      <c r="K136" s="68">
        <v>30</v>
      </c>
      <c r="U136" s="68"/>
      <c r="V136" s="68"/>
      <c r="W136" s="68"/>
    </row>
    <row r="137" spans="1:23" hidden="1">
      <c r="A137" s="69" t="str">
        <f t="shared" si="18"/>
        <v>Jawar</v>
      </c>
      <c r="B137" s="69"/>
      <c r="C137" s="159">
        <v>27</v>
      </c>
      <c r="D137" s="70">
        <f>(D69*(1-'5.Closing Stock &amp; W Capital'!$D$15))*$C$137*D$124</f>
        <v>0</v>
      </c>
      <c r="E137" s="70">
        <f>((E69*(1-'5.Closing Stock &amp; W Capital'!$D$15))+(D69*'5.Closing Stock &amp; W Capital'!$D$15))*$C$137*E$124</f>
        <v>0</v>
      </c>
      <c r="F137" s="70">
        <f>((F69*(1-'5.Closing Stock &amp; W Capital'!$D$15))+(E69*'5.Closing Stock &amp; W Capital'!$D$15))*$C$137*F$124</f>
        <v>0</v>
      </c>
      <c r="G137" s="70">
        <f>((G69*(1-'5.Closing Stock &amp; W Capital'!$D$15))+(F69*'5.Closing Stock &amp; W Capital'!$D$15))*$C$137*G$124</f>
        <v>0</v>
      </c>
      <c r="H137" s="70">
        <f>((H69*(1-'5.Closing Stock &amp; W Capital'!$D$15))+(G69*'5.Closing Stock &amp; W Capital'!$D$15))*$C$137*H$124</f>
        <v>0</v>
      </c>
      <c r="I137" s="70">
        <f>((I69*(1-'5.Closing Stock &amp; W Capital'!$D$15))+(H69*'5.Closing Stock &amp; W Capital'!$D$15))*$C$137*I$124</f>
        <v>0</v>
      </c>
      <c r="J137" s="70">
        <f>((J69*(1-'5.Closing Stock &amp; W Capital'!$D$15))+(I69*'5.Closing Stock &amp; W Capital'!$D$15))*$C$137*J$124</f>
        <v>0</v>
      </c>
      <c r="K137" s="68">
        <v>30</v>
      </c>
      <c r="U137" s="68"/>
      <c r="V137" s="68"/>
      <c r="W137" s="68"/>
    </row>
    <row r="138" spans="1:23">
      <c r="A138" s="71" t="str">
        <f t="shared" si="18"/>
        <v>Rabi Crop</v>
      </c>
      <c r="B138" s="69"/>
      <c r="C138" s="159"/>
      <c r="D138" s="70"/>
      <c r="E138" s="70"/>
      <c r="F138" s="70"/>
      <c r="G138" s="70"/>
      <c r="H138" s="70"/>
      <c r="I138" s="70"/>
      <c r="J138" s="70"/>
      <c r="K138" s="68"/>
      <c r="U138" s="68"/>
      <c r="V138" s="68"/>
      <c r="W138" s="68"/>
    </row>
    <row r="139" spans="1:23">
      <c r="A139" s="69" t="str">
        <f t="shared" si="18"/>
        <v>Wheat</v>
      </c>
      <c r="B139" s="69"/>
      <c r="C139" s="159">
        <v>36</v>
      </c>
      <c r="D139" s="70">
        <f>(D71*(1-'5.Closing Stock &amp; W Capital'!$D$15))*$C$139*D$124</f>
        <v>0</v>
      </c>
      <c r="E139" s="70">
        <f>((E71*(1-'5.Closing Stock &amp; W Capital'!$D$15))+(D71*'5.Closing Stock &amp; W Capital'!$D$15))*$C$139*E$124</f>
        <v>0</v>
      </c>
      <c r="F139" s="70">
        <f>((F71*(1-'5.Closing Stock &amp; W Capital'!$D$15))+(E71*'5.Closing Stock &amp; W Capital'!$D$15))*$C$139*F$124</f>
        <v>0</v>
      </c>
      <c r="G139" s="70">
        <f>((G71*(1-'5.Closing Stock &amp; W Capital'!$D$15))+(F71*'5.Closing Stock &amp; W Capital'!$D$15))*$C$139*G$124</f>
        <v>0</v>
      </c>
      <c r="H139" s="70">
        <f>((H71*(1-'5.Closing Stock &amp; W Capital'!$D$15))+(G71*'5.Closing Stock &amp; W Capital'!$D$15))*$C$139*H$124</f>
        <v>0</v>
      </c>
      <c r="I139" s="70">
        <f>((I71*(1-'5.Closing Stock &amp; W Capital'!$D$15))+(H71*'5.Closing Stock &amp; W Capital'!$D$15))*$C$139*I$124</f>
        <v>0</v>
      </c>
      <c r="J139" s="70">
        <f>((J71*(1-'5.Closing Stock &amp; W Capital'!$D$15))+(I71*'5.Closing Stock &amp; W Capital'!$D$15))*$C$139*J$124</f>
        <v>0</v>
      </c>
      <c r="K139" s="68">
        <v>40</v>
      </c>
      <c r="U139" s="68"/>
      <c r="V139" s="68"/>
      <c r="W139" s="68"/>
    </row>
    <row r="140" spans="1:23">
      <c r="A140" s="69" t="str">
        <f t="shared" si="18"/>
        <v>Bengal Gram/Channa</v>
      </c>
      <c r="B140" s="69"/>
      <c r="C140" s="159">
        <v>72</v>
      </c>
      <c r="D140" s="70">
        <f>(D72*(1-'5.Closing Stock &amp; W Capital'!$D$15))*$C$140*D$124</f>
        <v>0</v>
      </c>
      <c r="E140" s="70">
        <f>((E72*(1-'5.Closing Stock &amp; W Capital'!$D$15))+(D72*'5.Closing Stock &amp; W Capital'!$D$15))*$C$140*E$124</f>
        <v>0</v>
      </c>
      <c r="F140" s="70">
        <f>((F72*(1-'5.Closing Stock &amp; W Capital'!$D$15))+(E72*'5.Closing Stock &amp; W Capital'!$D$15))*$C$140*F$124</f>
        <v>0</v>
      </c>
      <c r="G140" s="70">
        <f>((G72*(1-'5.Closing Stock &amp; W Capital'!$D$15))+(F72*'5.Closing Stock &amp; W Capital'!$D$15))*$C$140*G$124</f>
        <v>0</v>
      </c>
      <c r="H140" s="70">
        <f>((H72*(1-'5.Closing Stock &amp; W Capital'!$D$15))+(G72*'5.Closing Stock &amp; W Capital'!$D$15))*$C$140*H$124</f>
        <v>0</v>
      </c>
      <c r="I140" s="70">
        <f>((I72*(1-'5.Closing Stock &amp; W Capital'!$D$15))+(H72*'5.Closing Stock &amp; W Capital'!$D$15))*$C$140*I$124</f>
        <v>0</v>
      </c>
      <c r="J140" s="70">
        <f>((J72*(1-'5.Closing Stock &amp; W Capital'!$D$15))+(I72*'5.Closing Stock &amp; W Capital'!$D$15))*$C$140*J$124</f>
        <v>0</v>
      </c>
      <c r="K140" s="68">
        <v>75</v>
      </c>
      <c r="U140" s="68"/>
      <c r="V140" s="68"/>
      <c r="W140" s="68"/>
    </row>
    <row r="141" spans="1:23">
      <c r="A141" s="69" t="str">
        <f t="shared" si="18"/>
        <v>Jawar</v>
      </c>
      <c r="B141" s="69"/>
      <c r="C141" s="159">
        <v>27</v>
      </c>
      <c r="D141" s="70">
        <f>(D73*(1-'5.Closing Stock &amp; W Capital'!$D$15))*$C$141*D$124</f>
        <v>0</v>
      </c>
      <c r="E141" s="70">
        <f>((E73*(1-'5.Closing Stock &amp; W Capital'!$D$15))+(D73*'5.Closing Stock &amp; W Capital'!$D$15))*$C$141*E$124</f>
        <v>0</v>
      </c>
      <c r="F141" s="70">
        <f>((F73*(1-'5.Closing Stock &amp; W Capital'!$D$15))+(E73*'5.Closing Stock &amp; W Capital'!$D$15))*$C$141*F$124</f>
        <v>0</v>
      </c>
      <c r="G141" s="70">
        <f>((G73*(1-'5.Closing Stock &amp; W Capital'!$D$15))+(F73*'5.Closing Stock &amp; W Capital'!$D$15))*$C$141*G$124</f>
        <v>0</v>
      </c>
      <c r="H141" s="70">
        <f>((H73*(1-'5.Closing Stock &amp; W Capital'!$D$15))+(G73*'5.Closing Stock &amp; W Capital'!$D$15))*$C$141*H$124</f>
        <v>0</v>
      </c>
      <c r="I141" s="70">
        <f>((I73*(1-'5.Closing Stock &amp; W Capital'!$D$15))+(H73*'5.Closing Stock &amp; W Capital'!$D$15))*$C$141*I$124</f>
        <v>0</v>
      </c>
      <c r="J141" s="70">
        <f>((J73*(1-'5.Closing Stock &amp; W Capital'!$D$15))+(I73*'5.Closing Stock &amp; W Capital'!$D$15))*$C$141*J$124</f>
        <v>0</v>
      </c>
      <c r="K141" s="68">
        <v>27</v>
      </c>
      <c r="U141" s="68"/>
      <c r="V141" s="68"/>
      <c r="W141" s="68"/>
    </row>
    <row r="142" spans="1:23" hidden="1">
      <c r="A142" s="69" t="str">
        <f t="shared" si="18"/>
        <v>Maize</v>
      </c>
      <c r="B142" s="69"/>
      <c r="C142" s="159">
        <v>27</v>
      </c>
      <c r="D142" s="70">
        <f>(D74*(1-'5.Closing Stock &amp; W Capital'!$D$15))*$C$142*D$124</f>
        <v>0</v>
      </c>
      <c r="E142" s="70">
        <f>((E74*(1-'5.Closing Stock &amp; W Capital'!$D$15))+(D74*'5.Closing Stock &amp; W Capital'!$D$15))*$C$142*E$124</f>
        <v>0</v>
      </c>
      <c r="F142" s="70">
        <f>((F74*(1-'5.Closing Stock &amp; W Capital'!$D$15))+(E74*'5.Closing Stock &amp; W Capital'!$D$15))*$C$142*F$124</f>
        <v>0</v>
      </c>
      <c r="G142" s="70">
        <f>((G74*(1-'5.Closing Stock &amp; W Capital'!$D$15))+(F74*'5.Closing Stock &amp; W Capital'!$D$15))*$C$142*G$124</f>
        <v>0</v>
      </c>
      <c r="H142" s="70">
        <f>((H74*(1-'5.Closing Stock &amp; W Capital'!$D$15))+(G74*'5.Closing Stock &amp; W Capital'!$D$15))*$C$142*H$124</f>
        <v>0</v>
      </c>
      <c r="I142" s="70">
        <f>((I74*(1-'5.Closing Stock &amp; W Capital'!$D$15))+(H74*'5.Closing Stock &amp; W Capital'!$D$15))*$C$142*I$124</f>
        <v>0</v>
      </c>
      <c r="J142" s="70">
        <f>((J74*(1-'5.Closing Stock &amp; W Capital'!$D$15))+(I74*'5.Closing Stock &amp; W Capital'!$D$15))*$C$142*J$124</f>
        <v>0</v>
      </c>
      <c r="K142" s="68">
        <v>27</v>
      </c>
      <c r="U142" s="68"/>
      <c r="V142" s="68"/>
      <c r="W142" s="68"/>
    </row>
    <row r="143" spans="1:23" hidden="1">
      <c r="A143" s="69" t="str">
        <f t="shared" si="18"/>
        <v>Safflower</v>
      </c>
      <c r="B143" s="69"/>
      <c r="C143" s="159"/>
      <c r="D143" s="70">
        <f>(D75*(1-'5.Closing Stock &amp; W Capital'!$D$15))*$C$143*D$124</f>
        <v>0</v>
      </c>
      <c r="E143" s="70">
        <f>((E75*(1-'5.Closing Stock &amp; W Capital'!$D$15))+(D75*'5.Closing Stock &amp; W Capital'!$D$15))*$C$143*E$124</f>
        <v>0</v>
      </c>
      <c r="F143" s="70">
        <f>((F75*(1-'5.Closing Stock &amp; W Capital'!$D$15))+(E75*'5.Closing Stock &amp; W Capital'!$D$15))*$C$143*F$124</f>
        <v>0</v>
      </c>
      <c r="G143" s="70">
        <f>((G75*(1-'5.Closing Stock &amp; W Capital'!$D$15))+(F75*'5.Closing Stock &amp; W Capital'!$D$15))*$C$143*G$124</f>
        <v>0</v>
      </c>
      <c r="H143" s="70">
        <f>((H75*(1-'5.Closing Stock &amp; W Capital'!$D$15))+(G75*'5.Closing Stock &amp; W Capital'!$D$15))*$C$143*H$124</f>
        <v>0</v>
      </c>
      <c r="I143" s="70">
        <f>((I75*(1-'5.Closing Stock &amp; W Capital'!$D$15))+(H75*'5.Closing Stock &amp; W Capital'!$D$15))*$C$143*I$124</f>
        <v>0</v>
      </c>
      <c r="J143" s="70">
        <f>((J75*(1-'5.Closing Stock &amp; W Capital'!$D$15))+(I75*'5.Closing Stock &amp; W Capital'!$D$15))*$C$143*J$124</f>
        <v>0</v>
      </c>
      <c r="K143" s="68"/>
      <c r="U143" s="68"/>
      <c r="V143" s="68"/>
      <c r="W143" s="68"/>
    </row>
    <row r="144" spans="1:23" hidden="1">
      <c r="A144" s="69">
        <f t="shared" si="18"/>
        <v>0</v>
      </c>
      <c r="B144" s="69"/>
      <c r="C144" s="159"/>
      <c r="D144" s="70">
        <f>(D76*(1-'5.Closing Stock &amp; W Capital'!$D$15))*$C$144*D$124</f>
        <v>0</v>
      </c>
      <c r="E144" s="70">
        <f>((E76*(1-'5.Closing Stock &amp; W Capital'!$D$15))+(D76*'5.Closing Stock &amp; W Capital'!$D$15))*$C$144*E$124</f>
        <v>0</v>
      </c>
      <c r="F144" s="70">
        <f>((F76*(1-'5.Closing Stock &amp; W Capital'!$D$15))+(E76*'5.Closing Stock &amp; W Capital'!$D$15))*$C$144*F$124</f>
        <v>0</v>
      </c>
      <c r="G144" s="70">
        <f>((G76*(1-'5.Closing Stock &amp; W Capital'!$D$15))+(F76*'5.Closing Stock &amp; W Capital'!$D$15))*$C$144*G$124</f>
        <v>0</v>
      </c>
      <c r="H144" s="70">
        <f>((H76*(1-'5.Closing Stock &amp; W Capital'!$D$15))+(G76*'5.Closing Stock &amp; W Capital'!$D$15))*$C$144*H$124</f>
        <v>0</v>
      </c>
      <c r="I144" s="70">
        <f>((I76*(1-'5.Closing Stock &amp; W Capital'!$D$15))+(H76*'5.Closing Stock &amp; W Capital'!$D$15))*$C$144*I$124</f>
        <v>0</v>
      </c>
      <c r="J144" s="70">
        <f>((J76*(1-'5.Closing Stock &amp; W Capital'!$D$15))+(I76*'5.Closing Stock &amp; W Capital'!$D$15))*$C$144*J$124</f>
        <v>0</v>
      </c>
      <c r="K144" s="68"/>
      <c r="U144" s="68"/>
      <c r="V144" s="68"/>
      <c r="W144" s="68"/>
    </row>
    <row r="145" spans="1:23" hidden="1">
      <c r="A145" s="69">
        <f t="shared" si="18"/>
        <v>0</v>
      </c>
      <c r="B145" s="69"/>
      <c r="C145" s="159"/>
      <c r="D145" s="70">
        <f>(D77*(1-'5.Closing Stock &amp; W Capital'!$D$15))*$C$145*D$124</f>
        <v>0</v>
      </c>
      <c r="E145" s="70">
        <f>((E77*(1-'5.Closing Stock &amp; W Capital'!$D$15))+(D77*'5.Closing Stock &amp; W Capital'!$D$15))*$C$145*E$124</f>
        <v>0</v>
      </c>
      <c r="F145" s="70">
        <f>((F77*(1-'5.Closing Stock &amp; W Capital'!$D$15))+(E77*'5.Closing Stock &amp; W Capital'!$D$15))*$C$145*F$124</f>
        <v>0</v>
      </c>
      <c r="G145" s="70">
        <f>((G77*(1-'5.Closing Stock &amp; W Capital'!$D$15))+(F77*'5.Closing Stock &amp; W Capital'!$D$15))*$C$145*G$124</f>
        <v>0</v>
      </c>
      <c r="H145" s="70">
        <f>((H77*(1-'5.Closing Stock &amp; W Capital'!$D$15))+(G77*'5.Closing Stock &amp; W Capital'!$D$15))*$C$145*H$124</f>
        <v>0</v>
      </c>
      <c r="I145" s="70">
        <f>((I77*(1-'5.Closing Stock &amp; W Capital'!$D$15))+(H77*'5.Closing Stock &amp; W Capital'!$D$15))*$C$145*I$124</f>
        <v>0</v>
      </c>
      <c r="J145" s="70">
        <f>((J77*(1-'5.Closing Stock &amp; W Capital'!$D$15))+(I77*'5.Closing Stock &amp; W Capital'!$D$15))*$C$145*J$124</f>
        <v>0</v>
      </c>
      <c r="K145" s="68"/>
      <c r="U145" s="68"/>
      <c r="V145" s="68"/>
      <c r="W145" s="68"/>
    </row>
    <row r="146" spans="1:23" hidden="1">
      <c r="A146" s="69">
        <f t="shared" si="18"/>
        <v>0</v>
      </c>
      <c r="B146" s="69"/>
      <c r="C146" s="159"/>
      <c r="D146" s="70">
        <f>(D78*(1-'5.Closing Stock &amp; W Capital'!$D$15))*$C$146*D$124</f>
        <v>0</v>
      </c>
      <c r="E146" s="70">
        <f>((E78*(1-'5.Closing Stock &amp; W Capital'!$D$15))+(D78*'5.Closing Stock &amp; W Capital'!$D$15))*$C$146*E$124</f>
        <v>0</v>
      </c>
      <c r="F146" s="70">
        <f>((F78*(1-'5.Closing Stock &amp; W Capital'!$D$15))+(E78*'5.Closing Stock &amp; W Capital'!$D$15))*$C$146*F$124</f>
        <v>0</v>
      </c>
      <c r="G146" s="70">
        <f>((G78*(1-'5.Closing Stock &amp; W Capital'!$D$15))+(F78*'5.Closing Stock &amp; W Capital'!$D$15))*$C$146*G$124</f>
        <v>0</v>
      </c>
      <c r="H146" s="70">
        <f>((H78*(1-'5.Closing Stock &amp; W Capital'!$D$15))+(G78*'5.Closing Stock &amp; W Capital'!$D$15))*$C$146*H$124</f>
        <v>0</v>
      </c>
      <c r="I146" s="70">
        <f>((I78*(1-'5.Closing Stock &amp; W Capital'!$D$15))+(H78*'5.Closing Stock &amp; W Capital'!$D$15))*$C$146*I$124</f>
        <v>0</v>
      </c>
      <c r="J146" s="70">
        <f>((J78*(1-'5.Closing Stock &amp; W Capital'!$D$15))+(I78*'5.Closing Stock &amp; W Capital'!$D$15))*$C$146*J$124</f>
        <v>0</v>
      </c>
      <c r="K146" s="68"/>
      <c r="U146" s="68"/>
      <c r="V146" s="68"/>
      <c r="W146" s="68"/>
    </row>
    <row r="147" spans="1:23" hidden="1">
      <c r="A147" s="71" t="str">
        <f t="shared" si="18"/>
        <v>Summer</v>
      </c>
      <c r="B147" s="69"/>
      <c r="C147" s="159"/>
      <c r="D147" s="70"/>
      <c r="E147" s="70"/>
      <c r="F147" s="70"/>
      <c r="G147" s="70"/>
      <c r="H147" s="70"/>
      <c r="I147" s="70"/>
      <c r="J147" s="70"/>
      <c r="K147" s="68"/>
      <c r="U147" s="68"/>
      <c r="V147" s="68"/>
      <c r="W147" s="68"/>
    </row>
    <row r="148" spans="1:23" hidden="1">
      <c r="A148" s="69" t="str">
        <f t="shared" si="18"/>
        <v>Groundnut</v>
      </c>
      <c r="B148" s="69"/>
      <c r="C148" s="159"/>
      <c r="D148" s="70">
        <f>(D80*(1-'5.Closing Stock &amp; W Capital'!$D$15))*$C$148*D$124</f>
        <v>0</v>
      </c>
      <c r="E148" s="70">
        <f>((E80*(1-'5.Closing Stock &amp; W Capital'!$D$15))+(D80*'5.Closing Stock &amp; W Capital'!$D$15))*$C$148*E$124</f>
        <v>0</v>
      </c>
      <c r="F148" s="70">
        <f>((F80*(1-'5.Closing Stock &amp; W Capital'!$D$15))+(E80*'5.Closing Stock &amp; W Capital'!$D$15))*$C$148*F$124</f>
        <v>0</v>
      </c>
      <c r="G148" s="70">
        <f>((G80*(1-'5.Closing Stock &amp; W Capital'!$D$15))+(F80*'5.Closing Stock &amp; W Capital'!$D$15))*$C$148*G$124</f>
        <v>0</v>
      </c>
      <c r="H148" s="70">
        <f>((H80*(1-'5.Closing Stock &amp; W Capital'!$D$15))+(G80*'5.Closing Stock &amp; W Capital'!$D$15))*$C$148*H$124</f>
        <v>0</v>
      </c>
      <c r="I148" s="70">
        <f>((I80*(1-'5.Closing Stock &amp; W Capital'!$D$15))+(H80*'5.Closing Stock &amp; W Capital'!$D$15))*$C$148*I$124</f>
        <v>0</v>
      </c>
      <c r="J148" s="70">
        <f>((J80*(1-'5.Closing Stock &amp; W Capital'!$D$15))+(I80*'5.Closing Stock &amp; W Capital'!$D$15))*$C$148*J$124</f>
        <v>0</v>
      </c>
      <c r="K148" s="68"/>
      <c r="U148" s="68"/>
      <c r="V148" s="68"/>
      <c r="W148" s="68"/>
    </row>
    <row r="149" spans="1:23" hidden="1">
      <c r="A149" s="69">
        <f t="shared" si="18"/>
        <v>0</v>
      </c>
      <c r="B149" s="69"/>
      <c r="C149" s="159"/>
      <c r="D149" s="70">
        <f>(D81*(1-'5.Closing Stock &amp; W Capital'!$D$15))*$C$149*D$124</f>
        <v>0</v>
      </c>
      <c r="E149" s="70">
        <f>((E81*(1-'5.Closing Stock &amp; W Capital'!$D$15))+(D81*'5.Closing Stock &amp; W Capital'!$D$15))*$C$149*E$124</f>
        <v>0</v>
      </c>
      <c r="F149" s="70">
        <f>((F81*(1-'5.Closing Stock &amp; W Capital'!$D$15))+(E81*'5.Closing Stock &amp; W Capital'!$D$15))*$C$149*F$124</f>
        <v>0</v>
      </c>
      <c r="G149" s="70">
        <f>((G81*(1-'5.Closing Stock &amp; W Capital'!$D$15))+(F81*'5.Closing Stock &amp; W Capital'!$D$15))*$C$149*G$124</f>
        <v>0</v>
      </c>
      <c r="H149" s="70">
        <f>((H81*(1-'5.Closing Stock &amp; W Capital'!$D$15))+(G81*'5.Closing Stock &amp; W Capital'!$D$15))*$C$149*H$124</f>
        <v>0</v>
      </c>
      <c r="I149" s="70">
        <f>((I81*(1-'5.Closing Stock &amp; W Capital'!$D$15))+(H81*'5.Closing Stock &amp; W Capital'!$D$15))*$C$149*I$124</f>
        <v>0</v>
      </c>
      <c r="J149" s="70">
        <f>((J81*(1-'5.Closing Stock &amp; W Capital'!$D$15))+(I81*'5.Closing Stock &amp; W Capital'!$D$15))*$C$149*J$124</f>
        <v>0</v>
      </c>
      <c r="K149" s="68"/>
      <c r="U149" s="68"/>
      <c r="V149" s="68"/>
      <c r="W149" s="68"/>
    </row>
    <row r="150" spans="1:23" hidden="1">
      <c r="A150" s="69">
        <f t="shared" si="18"/>
        <v>0</v>
      </c>
      <c r="B150" s="69"/>
      <c r="C150" s="159"/>
      <c r="D150" s="70">
        <f>(D82*(1-'5.Closing Stock &amp; W Capital'!$D$15))*$C$150*D$124</f>
        <v>0</v>
      </c>
      <c r="E150" s="70">
        <f>((E82*(1-'5.Closing Stock &amp; W Capital'!$D$15))+(D82*'5.Closing Stock &amp; W Capital'!$D$15))*$C$150*E$124</f>
        <v>0</v>
      </c>
      <c r="F150" s="70">
        <f>((F82*(1-'5.Closing Stock &amp; W Capital'!$D$15))+(E82*'5.Closing Stock &amp; W Capital'!$D$15))*$C$150*F$124</f>
        <v>0</v>
      </c>
      <c r="G150" s="70">
        <f>((G82*(1-'5.Closing Stock &amp; W Capital'!$D$15))+(F82*'5.Closing Stock &amp; W Capital'!$D$15))*$C$150*G$124</f>
        <v>0</v>
      </c>
      <c r="H150" s="70">
        <f>((H82*(1-'5.Closing Stock &amp; W Capital'!$D$15))+(G82*'5.Closing Stock &amp; W Capital'!$D$15))*$C$150*H$124</f>
        <v>0</v>
      </c>
      <c r="I150" s="70">
        <f>((I82*(1-'5.Closing Stock &amp; W Capital'!$D$15))+(H82*'5.Closing Stock &amp; W Capital'!$D$15))*$C$150*I$124</f>
        <v>0</v>
      </c>
      <c r="J150" s="70">
        <f>((J82*(1-'5.Closing Stock &amp; W Capital'!$D$15))+(I82*'5.Closing Stock &amp; W Capital'!$D$15))*$C$150*J$124</f>
        <v>0</v>
      </c>
      <c r="K150" s="68"/>
      <c r="U150" s="68"/>
      <c r="V150" s="68"/>
      <c r="W150" s="68"/>
    </row>
    <row r="151" spans="1:23" hidden="1">
      <c r="A151" s="69">
        <f t="shared" si="18"/>
        <v>0</v>
      </c>
      <c r="B151" s="69"/>
      <c r="C151" s="159"/>
      <c r="D151" s="70">
        <f>(D83*(1-'5.Closing Stock &amp; W Capital'!$D$15))*$C$151*D$124</f>
        <v>0</v>
      </c>
      <c r="E151" s="70">
        <f>((E83*(1-'5.Closing Stock &amp; W Capital'!$D$15))+(D83*'5.Closing Stock &amp; W Capital'!$D$15))*$C$151*E$124</f>
        <v>0</v>
      </c>
      <c r="F151" s="70">
        <f>((F83*(1-'5.Closing Stock &amp; W Capital'!$D$15))+(E83*'5.Closing Stock &amp; W Capital'!$D$15))*$C$151*F$124</f>
        <v>0</v>
      </c>
      <c r="G151" s="70">
        <f>((G83*(1-'5.Closing Stock &amp; W Capital'!$D$15))+(F83*'5.Closing Stock &amp; W Capital'!$D$15))*$C$151*G$124</f>
        <v>0</v>
      </c>
      <c r="H151" s="70">
        <f>((H83*(1-'5.Closing Stock &amp; W Capital'!$D$15))+(G83*'5.Closing Stock &amp; W Capital'!$D$15))*$C$151*H$124</f>
        <v>0</v>
      </c>
      <c r="I151" s="70">
        <f>((I83*(1-'5.Closing Stock &amp; W Capital'!$D$15))+(H83*'5.Closing Stock &amp; W Capital'!$D$15))*$C$151*I$124</f>
        <v>0</v>
      </c>
      <c r="J151" s="70">
        <f>((J83*(1-'5.Closing Stock &amp; W Capital'!$D$15))+(I83*'5.Closing Stock &amp; W Capital'!$D$15))*$C$151*J$124</f>
        <v>0</v>
      </c>
      <c r="K151" s="68"/>
      <c r="U151" s="68"/>
      <c r="V151" s="68"/>
      <c r="W151" s="68"/>
    </row>
    <row r="152" spans="1:23" hidden="1">
      <c r="A152" s="69">
        <f t="shared" si="18"/>
        <v>0</v>
      </c>
      <c r="B152" s="69"/>
      <c r="C152" s="159"/>
      <c r="D152" s="70">
        <f>(D84*(1-'5.Closing Stock &amp; W Capital'!$D$15))*$C$152*D$124</f>
        <v>0</v>
      </c>
      <c r="E152" s="70">
        <f>((E84*(1-'5.Closing Stock &amp; W Capital'!$D$15))+(D84*'5.Closing Stock &amp; W Capital'!$D$15))*$C$152*E$124</f>
        <v>0</v>
      </c>
      <c r="F152" s="70">
        <f>((F84*(1-'5.Closing Stock &amp; W Capital'!$D$15))+(E84*'5.Closing Stock &amp; W Capital'!$D$15))*$C$152*F$124</f>
        <v>0</v>
      </c>
      <c r="G152" s="70">
        <f>((G84*(1-'5.Closing Stock &amp; W Capital'!$D$15))+(F84*'5.Closing Stock &amp; W Capital'!$D$15))*$C$152*G$124</f>
        <v>0</v>
      </c>
      <c r="H152" s="70">
        <f>((H84*(1-'5.Closing Stock &amp; W Capital'!$D$15))+(G84*'5.Closing Stock &amp; W Capital'!$D$15))*$C$152*H$124</f>
        <v>0</v>
      </c>
      <c r="I152" s="70">
        <f>((I84*(1-'5.Closing Stock &amp; W Capital'!$D$15))+(H84*'5.Closing Stock &amp; W Capital'!$D$15))*$C$152*I$124</f>
        <v>0</v>
      </c>
      <c r="J152" s="70">
        <f>((J84*(1-'5.Closing Stock &amp; W Capital'!$D$15))+(I84*'5.Closing Stock &amp; W Capital'!$D$15))*$C$152*J$124</f>
        <v>0</v>
      </c>
      <c r="K152" s="68"/>
      <c r="U152" s="68"/>
      <c r="V152" s="68"/>
      <c r="W152" s="68"/>
    </row>
    <row r="153" spans="1:23" hidden="1">
      <c r="A153" s="69" t="str">
        <f t="shared" si="18"/>
        <v>Fruit  &amp; Vegetables Crop Production Details</v>
      </c>
      <c r="B153" s="69"/>
      <c r="C153" s="159"/>
      <c r="D153" s="70"/>
      <c r="E153" s="70"/>
      <c r="F153" s="70"/>
      <c r="G153" s="70"/>
      <c r="H153" s="70"/>
      <c r="I153" s="70"/>
      <c r="J153" s="70"/>
      <c r="K153" s="68"/>
      <c r="U153" s="68"/>
      <c r="V153" s="68"/>
      <c r="W153" s="68"/>
    </row>
    <row r="154" spans="1:23" hidden="1">
      <c r="A154" s="69" t="str">
        <f t="shared" si="18"/>
        <v>Exotic Vegitables</v>
      </c>
      <c r="B154" s="69"/>
      <c r="C154" s="159"/>
      <c r="D154" s="70">
        <f>(D86*(1-'5.Closing Stock &amp; W Capital'!$D$15))*$C154*D$124</f>
        <v>0</v>
      </c>
      <c r="E154" s="70">
        <f>((E86*(1-'5.Closing Stock &amp; W Capital'!$D$15))+(D86*'5.Closing Stock &amp; W Capital'!$D$15))*$C154*E$124</f>
        <v>0</v>
      </c>
      <c r="F154" s="70">
        <f>((F86*(1-'5.Closing Stock &amp; W Capital'!$D$15))+(E86*'5.Closing Stock &amp; W Capital'!$D$15))*$C$152*F$124</f>
        <v>0</v>
      </c>
      <c r="G154" s="70">
        <f>((G86*(1-'5.Closing Stock &amp; W Capital'!$D$15))+(F86*'5.Closing Stock &amp; W Capital'!$D$15))*$C$152*G$124</f>
        <v>0</v>
      </c>
      <c r="H154" s="70">
        <f>((H86*(1-'5.Closing Stock &amp; W Capital'!$D$15))+(G86*'5.Closing Stock &amp; W Capital'!$D$15))*$C$152*H$124</f>
        <v>0</v>
      </c>
      <c r="I154" s="70">
        <f>((I86*(1-'5.Closing Stock &amp; W Capital'!$D$15))+(H86*'5.Closing Stock &amp; W Capital'!$D$15))*$C$152*I$124</f>
        <v>0</v>
      </c>
      <c r="J154" s="70">
        <f>((J86*(1-'5.Closing Stock &amp; W Capital'!$D$15))+(I86*'5.Closing Stock &amp; W Capital'!$D$15))*$C$152*J$124</f>
        <v>0</v>
      </c>
      <c r="K154" s="68"/>
      <c r="U154" s="68"/>
      <c r="V154" s="68"/>
      <c r="W154" s="68"/>
    </row>
    <row r="155" spans="1:23" hidden="1">
      <c r="A155" s="69" t="str">
        <f t="shared" si="18"/>
        <v>Tomato</v>
      </c>
      <c r="B155" s="69"/>
      <c r="C155" s="159"/>
      <c r="D155" s="70">
        <f>(D87*(1-'5.Closing Stock &amp; W Capital'!$D$15))*$C155*D$124</f>
        <v>0</v>
      </c>
      <c r="E155" s="70">
        <f>((E87*(1-'5.Closing Stock &amp; W Capital'!$D$15))+(D87*'5.Closing Stock &amp; W Capital'!$D$15))*$C155*E$124</f>
        <v>0</v>
      </c>
      <c r="F155" s="70">
        <f>((F87*(1-'5.Closing Stock &amp; W Capital'!$D$15))+(E87*'5.Closing Stock &amp; W Capital'!$D$15))*$C$152*F$124</f>
        <v>0</v>
      </c>
      <c r="G155" s="70">
        <f>((G87*(1-'5.Closing Stock &amp; W Capital'!$D$15))+(F87*'5.Closing Stock &amp; W Capital'!$D$15))*$C$152*G$124</f>
        <v>0</v>
      </c>
      <c r="H155" s="70">
        <f>((H87*(1-'5.Closing Stock &amp; W Capital'!$D$15))+(G87*'5.Closing Stock &amp; W Capital'!$D$15))*$C$152*H$124</f>
        <v>0</v>
      </c>
      <c r="I155" s="70">
        <f>((I87*(1-'5.Closing Stock &amp; W Capital'!$D$15))+(H87*'5.Closing Stock &amp; W Capital'!$D$15))*$C$152*I$124</f>
        <v>0</v>
      </c>
      <c r="J155" s="70">
        <f>((J87*(1-'5.Closing Stock &amp; W Capital'!$D$15))+(I87*'5.Closing Stock &amp; W Capital'!$D$15))*$C$152*J$124</f>
        <v>0</v>
      </c>
      <c r="K155" s="68"/>
      <c r="U155" s="68"/>
      <c r="V155" s="68"/>
      <c r="W155" s="68"/>
    </row>
    <row r="156" spans="1:23" hidden="1">
      <c r="A156" s="69" t="str">
        <f t="shared" si="18"/>
        <v>Okra</v>
      </c>
      <c r="B156" s="69"/>
      <c r="C156" s="159"/>
      <c r="D156" s="70">
        <f>(D88*(1-'5.Closing Stock &amp; W Capital'!$D$15))*$C156*D$124</f>
        <v>0</v>
      </c>
      <c r="E156" s="70">
        <f>((E88*(1-'5.Closing Stock &amp; W Capital'!$D$15))+(D88*'5.Closing Stock &amp; W Capital'!$D$15))*$C156*E$124</f>
        <v>0</v>
      </c>
      <c r="F156" s="70">
        <f>((F88*(1-'5.Closing Stock &amp; W Capital'!$D$15))+(E88*'5.Closing Stock &amp; W Capital'!$D$15))*$C$152*F$124</f>
        <v>0</v>
      </c>
      <c r="G156" s="70">
        <f>((G88*(1-'5.Closing Stock &amp; W Capital'!$D$15))+(F88*'5.Closing Stock &amp; W Capital'!$D$15))*$C$152*G$124</f>
        <v>0</v>
      </c>
      <c r="H156" s="70">
        <f>((H88*(1-'5.Closing Stock &amp; W Capital'!$D$15))+(G88*'5.Closing Stock &amp; W Capital'!$D$15))*$C$152*H$124</f>
        <v>0</v>
      </c>
      <c r="I156" s="70">
        <f>((I88*(1-'5.Closing Stock &amp; W Capital'!$D$15))+(H88*'5.Closing Stock &amp; W Capital'!$D$15))*$C$152*I$124</f>
        <v>0</v>
      </c>
      <c r="J156" s="70">
        <f>((J88*(1-'5.Closing Stock &amp; W Capital'!$D$15))+(I88*'5.Closing Stock &amp; W Capital'!$D$15))*$C$152*J$124</f>
        <v>0</v>
      </c>
      <c r="K156" s="68"/>
      <c r="U156" s="68"/>
      <c r="V156" s="68"/>
      <c r="W156" s="68"/>
    </row>
    <row r="157" spans="1:23" hidden="1">
      <c r="A157" s="69" t="str">
        <f t="shared" si="18"/>
        <v>Chilli</v>
      </c>
      <c r="B157" s="69"/>
      <c r="C157" s="159"/>
      <c r="D157" s="70">
        <f>(D89*(1-'5.Closing Stock &amp; W Capital'!$D$15))*$C157*D$124</f>
        <v>0</v>
      </c>
      <c r="E157" s="70">
        <f>((E89*(1-'5.Closing Stock &amp; W Capital'!$D$15))+(D89*'5.Closing Stock &amp; W Capital'!$D$15))*$C157*E$124</f>
        <v>0</v>
      </c>
      <c r="F157" s="70">
        <f>((F89*(1-'5.Closing Stock &amp; W Capital'!$D$15))+(E89*'5.Closing Stock &amp; W Capital'!$D$15))*$C$152*F$124</f>
        <v>0</v>
      </c>
      <c r="G157" s="70">
        <f>((G89*(1-'5.Closing Stock &amp; W Capital'!$D$15))+(F89*'5.Closing Stock &amp; W Capital'!$D$15))*$C$152*G$124</f>
        <v>0</v>
      </c>
      <c r="H157" s="70">
        <f>((H89*(1-'5.Closing Stock &amp; W Capital'!$D$15))+(G89*'5.Closing Stock &amp; W Capital'!$D$15))*$C$152*H$124</f>
        <v>0</v>
      </c>
      <c r="I157" s="70">
        <f>((I89*(1-'5.Closing Stock &amp; W Capital'!$D$15))+(H89*'5.Closing Stock &amp; W Capital'!$D$15))*$C$152*I$124</f>
        <v>0</v>
      </c>
      <c r="J157" s="70">
        <f>((J89*(1-'5.Closing Stock &amp; W Capital'!$D$15))+(I89*'5.Closing Stock &amp; W Capital'!$D$15))*$C$152*J$124</f>
        <v>0</v>
      </c>
      <c r="K157" s="68"/>
      <c r="U157" s="68"/>
      <c r="V157" s="68"/>
      <c r="W157" s="68"/>
    </row>
    <row r="158" spans="1:23" hidden="1">
      <c r="A158" s="69" t="str">
        <f t="shared" si="18"/>
        <v>Potato</v>
      </c>
      <c r="B158" s="69"/>
      <c r="C158" s="159"/>
      <c r="D158" s="70">
        <f>(D90*(1-'5.Closing Stock &amp; W Capital'!$D$15))*$C158*D$124</f>
        <v>0</v>
      </c>
      <c r="E158" s="70">
        <f>((E90*(1-'5.Closing Stock &amp; W Capital'!$D$15))+(D90*'5.Closing Stock &amp; W Capital'!$D$15))*$C158*E$124</f>
        <v>0</v>
      </c>
      <c r="F158" s="70">
        <f>((F90*(1-'5.Closing Stock &amp; W Capital'!$D$15))+(E90*'5.Closing Stock &amp; W Capital'!$D$15))*$C$152*F$124</f>
        <v>0</v>
      </c>
      <c r="G158" s="70">
        <f>((G90*(1-'5.Closing Stock &amp; W Capital'!$D$15))+(F90*'5.Closing Stock &amp; W Capital'!$D$15))*$C$152*G$124</f>
        <v>0</v>
      </c>
      <c r="H158" s="70">
        <f>((H90*(1-'5.Closing Stock &amp; W Capital'!$D$15))+(G90*'5.Closing Stock &amp; W Capital'!$D$15))*$C$152*H$124</f>
        <v>0</v>
      </c>
      <c r="I158" s="70">
        <f>((I90*(1-'5.Closing Stock &amp; W Capital'!$D$15))+(H90*'5.Closing Stock &amp; W Capital'!$D$15))*$C$152*I$124</f>
        <v>0</v>
      </c>
      <c r="J158" s="70">
        <f>((J90*(1-'5.Closing Stock &amp; W Capital'!$D$15))+(I90*'5.Closing Stock &amp; W Capital'!$D$15))*$C$152*J$124</f>
        <v>0</v>
      </c>
      <c r="K158" s="68"/>
      <c r="U158" s="68"/>
      <c r="V158" s="68"/>
      <c r="W158" s="68"/>
    </row>
    <row r="159" spans="1:23" hidden="1">
      <c r="A159" s="69" t="str">
        <f t="shared" si="18"/>
        <v>Cabbage</v>
      </c>
      <c r="B159" s="69"/>
      <c r="C159" s="159"/>
      <c r="D159" s="70">
        <f>(D91*(1-'5.Closing Stock &amp; W Capital'!$D$15))*$C159*D$124</f>
        <v>0</v>
      </c>
      <c r="E159" s="70">
        <f>((E91*(1-'5.Closing Stock &amp; W Capital'!$D$15))+(D91*'5.Closing Stock &amp; W Capital'!$D$15))*$C159*E$124</f>
        <v>0</v>
      </c>
      <c r="F159" s="70">
        <f>((F91*(1-'5.Closing Stock &amp; W Capital'!$D$15))+(E91*'5.Closing Stock &amp; W Capital'!$D$15))*$C$152*F$124</f>
        <v>0</v>
      </c>
      <c r="G159" s="70">
        <f>((G91*(1-'5.Closing Stock &amp; W Capital'!$D$15))+(F91*'5.Closing Stock &amp; W Capital'!$D$15))*$C$152*G$124</f>
        <v>0</v>
      </c>
      <c r="H159" s="70">
        <f>((H91*(1-'5.Closing Stock &amp; W Capital'!$D$15))+(G91*'5.Closing Stock &amp; W Capital'!$D$15))*$C$152*H$124</f>
        <v>0</v>
      </c>
      <c r="I159" s="70">
        <f>((I91*(1-'5.Closing Stock &amp; W Capital'!$D$15))+(H91*'5.Closing Stock &amp; W Capital'!$D$15))*$C$152*I$124</f>
        <v>0</v>
      </c>
      <c r="J159" s="70">
        <f>((J91*(1-'5.Closing Stock &amp; W Capital'!$D$15))+(I91*'5.Closing Stock &amp; W Capital'!$D$15))*$C$152*J$124</f>
        <v>0</v>
      </c>
      <c r="K159" s="68"/>
      <c r="U159" s="68"/>
      <c r="V159" s="68"/>
      <c r="W159" s="68"/>
    </row>
    <row r="160" spans="1:23" hidden="1">
      <c r="A160" s="69" t="str">
        <f t="shared" si="18"/>
        <v>Coliflower</v>
      </c>
      <c r="B160" s="69"/>
      <c r="C160" s="159"/>
      <c r="D160" s="70">
        <f>(D92*(1-'5.Closing Stock &amp; W Capital'!$D$15))*$C160*D$124</f>
        <v>0</v>
      </c>
      <c r="E160" s="70">
        <f>((E92*(1-'5.Closing Stock &amp; W Capital'!$D$15))+(D92*'5.Closing Stock &amp; W Capital'!$D$15))*$C160*E$124</f>
        <v>0</v>
      </c>
      <c r="F160" s="70">
        <f>((F92*(1-'5.Closing Stock &amp; W Capital'!$D$15))+(E92*'5.Closing Stock &amp; W Capital'!$D$15))*$C$152*F$124</f>
        <v>0</v>
      </c>
      <c r="G160" s="70">
        <f>((G92*(1-'5.Closing Stock &amp; W Capital'!$D$15))+(F92*'5.Closing Stock &amp; W Capital'!$D$15))*$C$152*G$124</f>
        <v>0</v>
      </c>
      <c r="H160" s="70">
        <f>((H92*(1-'5.Closing Stock &amp; W Capital'!$D$15))+(G92*'5.Closing Stock &amp; W Capital'!$D$15))*$C$152*H$124</f>
        <v>0</v>
      </c>
      <c r="I160" s="70">
        <f>((I92*(1-'5.Closing Stock &amp; W Capital'!$D$15))+(H92*'5.Closing Stock &amp; W Capital'!$D$15))*$C$152*I$124</f>
        <v>0</v>
      </c>
      <c r="J160" s="70">
        <f>((J92*(1-'5.Closing Stock &amp; W Capital'!$D$15))+(I92*'5.Closing Stock &amp; W Capital'!$D$15))*$C$152*J$124</f>
        <v>0</v>
      </c>
      <c r="K160" s="68"/>
      <c r="U160" s="68"/>
      <c r="V160" s="68"/>
      <c r="W160" s="68"/>
    </row>
    <row r="161" spans="1:23" hidden="1">
      <c r="A161" s="69" t="str">
        <f t="shared" ref="A161:A179" si="19">A40</f>
        <v>Bitter Gurd</v>
      </c>
      <c r="B161" s="69"/>
      <c r="C161" s="159"/>
      <c r="D161" s="70">
        <f>(D93*(1-'5.Closing Stock &amp; W Capital'!$D$15))*$C161*D$124</f>
        <v>0</v>
      </c>
      <c r="E161" s="70">
        <f>((E93*(1-'5.Closing Stock &amp; W Capital'!$D$15))+(D93*'5.Closing Stock &amp; W Capital'!$D$15))*$C161*E$124</f>
        <v>0</v>
      </c>
      <c r="F161" s="70">
        <f>((F93*(1-'5.Closing Stock &amp; W Capital'!$D$15))+(E93*'5.Closing Stock &amp; W Capital'!$D$15))*$C$152*F$124</f>
        <v>0</v>
      </c>
      <c r="G161" s="70">
        <f>((G93*(1-'5.Closing Stock &amp; W Capital'!$D$15))+(F93*'5.Closing Stock &amp; W Capital'!$D$15))*$C$152*G$124</f>
        <v>0</v>
      </c>
      <c r="H161" s="70">
        <f>((H93*(1-'5.Closing Stock &amp; W Capital'!$D$15))+(G93*'5.Closing Stock &amp; W Capital'!$D$15))*$C$152*H$124</f>
        <v>0</v>
      </c>
      <c r="I161" s="70">
        <f>((I93*(1-'5.Closing Stock &amp; W Capital'!$D$15))+(H93*'5.Closing Stock &amp; W Capital'!$D$15))*$C$152*I$124</f>
        <v>0</v>
      </c>
      <c r="J161" s="70">
        <f>((J93*(1-'5.Closing Stock &amp; W Capital'!$D$15))+(I93*'5.Closing Stock &amp; W Capital'!$D$15))*$C$152*J$124</f>
        <v>0</v>
      </c>
      <c r="K161" s="68"/>
      <c r="U161" s="68"/>
      <c r="V161" s="68"/>
      <c r="W161" s="68"/>
    </row>
    <row r="162" spans="1:23" hidden="1">
      <c r="A162" s="69">
        <f t="shared" si="19"/>
        <v>0</v>
      </c>
      <c r="B162" s="69"/>
      <c r="C162" s="159"/>
      <c r="D162" s="70">
        <f>(D94*(1-'5.Closing Stock &amp; W Capital'!$D$15))*$C162*D$124</f>
        <v>0</v>
      </c>
      <c r="E162" s="70">
        <f>((E94*(1-'5.Closing Stock &amp; W Capital'!$D$15))+(D94*'5.Closing Stock &amp; W Capital'!$D$15))*$C162*E$124</f>
        <v>0</v>
      </c>
      <c r="F162" s="70">
        <f>((F94*(1-'5.Closing Stock &amp; W Capital'!$D$15))+(E94*'5.Closing Stock &amp; W Capital'!$D$15))*$C$152*F$124</f>
        <v>0</v>
      </c>
      <c r="G162" s="70">
        <f>((G94*(1-'5.Closing Stock &amp; W Capital'!$D$15))+(F94*'5.Closing Stock &amp; W Capital'!$D$15))*$C$152*G$124</f>
        <v>0</v>
      </c>
      <c r="H162" s="70">
        <f>((H94*(1-'5.Closing Stock &amp; W Capital'!$D$15))+(G94*'5.Closing Stock &amp; W Capital'!$D$15))*$C$152*H$124</f>
        <v>0</v>
      </c>
      <c r="I162" s="70">
        <f>((I94*(1-'5.Closing Stock &amp; W Capital'!$D$15))+(H94*'5.Closing Stock &amp; W Capital'!$D$15))*$C$152*I$124</f>
        <v>0</v>
      </c>
      <c r="J162" s="70">
        <f>((J94*(1-'5.Closing Stock &amp; W Capital'!$D$15))+(I94*'5.Closing Stock &amp; W Capital'!$D$15))*$C$152*J$124</f>
        <v>0</v>
      </c>
      <c r="K162" s="68"/>
      <c r="U162" s="68"/>
      <c r="V162" s="68"/>
      <c r="W162" s="68"/>
    </row>
    <row r="163" spans="1:23" hidden="1">
      <c r="A163" s="69" t="str">
        <f t="shared" si="19"/>
        <v>Exotic Vegitables</v>
      </c>
      <c r="B163" s="69"/>
      <c r="C163" s="159"/>
      <c r="D163" s="70">
        <f>(D95*(1-'5.Closing Stock &amp; W Capital'!$D$15))*$C163*D$124</f>
        <v>0</v>
      </c>
      <c r="E163" s="70">
        <f>((E95*(1-'5.Closing Stock &amp; W Capital'!$D$15))+(D95*'5.Closing Stock &amp; W Capital'!$D$15))*$C163*E$124</f>
        <v>0</v>
      </c>
      <c r="F163" s="70">
        <f>((F95*(1-'5.Closing Stock &amp; W Capital'!$D$15))+(E95*'5.Closing Stock &amp; W Capital'!$D$15))*$C$152*F$124</f>
        <v>0</v>
      </c>
      <c r="G163" s="70">
        <f>((G95*(1-'5.Closing Stock &amp; W Capital'!$D$15))+(F95*'5.Closing Stock &amp; W Capital'!$D$15))*$C$152*G$124</f>
        <v>0</v>
      </c>
      <c r="H163" s="70">
        <f>((H95*(1-'5.Closing Stock &amp; W Capital'!$D$15))+(G95*'5.Closing Stock &amp; W Capital'!$D$15))*$C$152*H$124</f>
        <v>0</v>
      </c>
      <c r="I163" s="70">
        <f>((I95*(1-'5.Closing Stock &amp; W Capital'!$D$15))+(H95*'5.Closing Stock &amp; W Capital'!$D$15))*$C$152*I$124</f>
        <v>0</v>
      </c>
      <c r="J163" s="70">
        <f>((J95*(1-'5.Closing Stock &amp; W Capital'!$D$15))+(I95*'5.Closing Stock &amp; W Capital'!$D$15))*$C$152*J$124</f>
        <v>0</v>
      </c>
      <c r="K163" s="68"/>
      <c r="U163" s="68"/>
      <c r="V163" s="68"/>
      <c r="W163" s="68"/>
    </row>
    <row r="164" spans="1:23" hidden="1">
      <c r="A164" s="69" t="str">
        <f t="shared" si="19"/>
        <v>Tomato</v>
      </c>
      <c r="B164" s="69"/>
      <c r="C164" s="159"/>
      <c r="D164" s="70">
        <f>(D96*(1-'5.Closing Stock &amp; W Capital'!$D$15))*$C164*D$124</f>
        <v>0</v>
      </c>
      <c r="E164" s="70">
        <f>((E96*(1-'5.Closing Stock &amp; W Capital'!$D$15))+(D96*'5.Closing Stock &amp; W Capital'!$D$15))*$C164*E$124</f>
        <v>0</v>
      </c>
      <c r="F164" s="70">
        <f>((F96*(1-'5.Closing Stock &amp; W Capital'!$D$15))+(E96*'5.Closing Stock &amp; W Capital'!$D$15))*$C$152*F$124</f>
        <v>0</v>
      </c>
      <c r="G164" s="70">
        <f>((G96*(1-'5.Closing Stock &amp; W Capital'!$D$15))+(F96*'5.Closing Stock &amp; W Capital'!$D$15))*$C$152*G$124</f>
        <v>0</v>
      </c>
      <c r="H164" s="70">
        <f>((H96*(1-'5.Closing Stock &amp; W Capital'!$D$15))+(G96*'5.Closing Stock &amp; W Capital'!$D$15))*$C$152*H$124</f>
        <v>0</v>
      </c>
      <c r="I164" s="70">
        <f>((I96*(1-'5.Closing Stock &amp; W Capital'!$D$15))+(H96*'5.Closing Stock &amp; W Capital'!$D$15))*$C$152*I$124</f>
        <v>0</v>
      </c>
      <c r="J164" s="70">
        <f>((J96*(1-'5.Closing Stock &amp; W Capital'!$D$15))+(I96*'5.Closing Stock &amp; W Capital'!$D$15))*$C$152*J$124</f>
        <v>0</v>
      </c>
      <c r="K164" s="68"/>
      <c r="U164" s="68"/>
      <c r="V164" s="68"/>
      <c r="W164" s="68"/>
    </row>
    <row r="165" spans="1:23" hidden="1">
      <c r="A165" s="69" t="str">
        <f t="shared" si="19"/>
        <v>Okra</v>
      </c>
      <c r="B165" s="69"/>
      <c r="C165" s="159"/>
      <c r="D165" s="70">
        <f>(D97*(1-'5.Closing Stock &amp; W Capital'!$D$15))*$C165*D$124</f>
        <v>0</v>
      </c>
      <c r="E165" s="70">
        <f>((E97*(1-'5.Closing Stock &amp; W Capital'!$D$15))+(D97*'5.Closing Stock &amp; W Capital'!$D$15))*$C165*E$124</f>
        <v>0</v>
      </c>
      <c r="F165" s="70">
        <f>((F97*(1-'5.Closing Stock &amp; W Capital'!$D$15))+(E97*'5.Closing Stock &amp; W Capital'!$D$15))*$C$152*F$124</f>
        <v>0</v>
      </c>
      <c r="G165" s="70">
        <f>((G97*(1-'5.Closing Stock &amp; W Capital'!$D$15))+(F97*'5.Closing Stock &amp; W Capital'!$D$15))*$C$152*G$124</f>
        <v>0</v>
      </c>
      <c r="H165" s="70">
        <f>((H97*(1-'5.Closing Stock &amp; W Capital'!$D$15))+(G97*'5.Closing Stock &amp; W Capital'!$D$15))*$C$152*H$124</f>
        <v>0</v>
      </c>
      <c r="I165" s="70">
        <f>((I97*(1-'5.Closing Stock &amp; W Capital'!$D$15))+(H97*'5.Closing Stock &amp; W Capital'!$D$15))*$C$152*I$124</f>
        <v>0</v>
      </c>
      <c r="J165" s="70">
        <f>((J97*(1-'5.Closing Stock &amp; W Capital'!$D$15))+(I97*'5.Closing Stock &amp; W Capital'!$D$15))*$C$152*J$124</f>
        <v>0</v>
      </c>
      <c r="K165" s="68"/>
      <c r="U165" s="68"/>
      <c r="V165" s="68"/>
      <c r="W165" s="68"/>
    </row>
    <row r="166" spans="1:23" hidden="1">
      <c r="A166" s="69" t="str">
        <f t="shared" si="19"/>
        <v>Chilli</v>
      </c>
      <c r="B166" s="69"/>
      <c r="C166" s="159"/>
      <c r="D166" s="70">
        <f>(D98*(1-'5.Closing Stock &amp; W Capital'!$D$15))*$C166*D$124</f>
        <v>0</v>
      </c>
      <c r="E166" s="70">
        <f>((E98*(1-'5.Closing Stock &amp; W Capital'!$D$15))+(D98*'5.Closing Stock &amp; W Capital'!$D$15))*$C166*E$124</f>
        <v>0</v>
      </c>
      <c r="F166" s="70">
        <f>((F98*(1-'5.Closing Stock &amp; W Capital'!$D$15))+(E98*'5.Closing Stock &amp; W Capital'!$D$15))*$C$152*F$124</f>
        <v>0</v>
      </c>
      <c r="G166" s="70">
        <f>((G98*(1-'5.Closing Stock &amp; W Capital'!$D$15))+(F98*'5.Closing Stock &amp; W Capital'!$D$15))*$C$152*G$124</f>
        <v>0</v>
      </c>
      <c r="H166" s="70">
        <f>((H98*(1-'5.Closing Stock &amp; W Capital'!$D$15))+(G98*'5.Closing Stock &amp; W Capital'!$D$15))*$C$152*H$124</f>
        <v>0</v>
      </c>
      <c r="I166" s="70">
        <f>((I98*(1-'5.Closing Stock &amp; W Capital'!$D$15))+(H98*'5.Closing Stock &amp; W Capital'!$D$15))*$C$152*I$124</f>
        <v>0</v>
      </c>
      <c r="J166" s="70">
        <f>((J98*(1-'5.Closing Stock &amp; W Capital'!$D$15))+(I98*'5.Closing Stock &amp; W Capital'!$D$15))*$C$152*J$124</f>
        <v>0</v>
      </c>
      <c r="K166" s="68"/>
      <c r="U166" s="68"/>
      <c r="V166" s="68"/>
      <c r="W166" s="68"/>
    </row>
    <row r="167" spans="1:23" hidden="1">
      <c r="A167" s="69" t="str">
        <f t="shared" si="19"/>
        <v>Brinjal</v>
      </c>
      <c r="B167" s="69"/>
      <c r="C167" s="159"/>
      <c r="D167" s="70">
        <f>(D99*(1-'5.Closing Stock &amp; W Capital'!$D$15))*$C167*D$124</f>
        <v>0</v>
      </c>
      <c r="E167" s="70">
        <f>((E99*(1-'5.Closing Stock &amp; W Capital'!$D$15))+(D99*'5.Closing Stock &amp; W Capital'!$D$15))*$C167*E$124</f>
        <v>0</v>
      </c>
      <c r="F167" s="70">
        <f>((F99*(1-'5.Closing Stock &amp; W Capital'!$D$15))+(E99*'5.Closing Stock &amp; W Capital'!$D$15))*$C$152*F$124</f>
        <v>0</v>
      </c>
      <c r="G167" s="70">
        <f>((G99*(1-'5.Closing Stock &amp; W Capital'!$D$15))+(F99*'5.Closing Stock &amp; W Capital'!$D$15))*$C$152*G$124</f>
        <v>0</v>
      </c>
      <c r="H167" s="70">
        <f>((H99*(1-'5.Closing Stock &amp; W Capital'!$D$15))+(G99*'5.Closing Stock &amp; W Capital'!$D$15))*$C$152*H$124</f>
        <v>0</v>
      </c>
      <c r="I167" s="70">
        <f>((I99*(1-'5.Closing Stock &amp; W Capital'!$D$15))+(H99*'5.Closing Stock &amp; W Capital'!$D$15))*$C$152*I$124</f>
        <v>0</v>
      </c>
      <c r="J167" s="70">
        <f>((J99*(1-'5.Closing Stock &amp; W Capital'!$D$15))+(I99*'5.Closing Stock &amp; W Capital'!$D$15))*$C$152*J$124</f>
        <v>0</v>
      </c>
      <c r="K167" s="68"/>
      <c r="U167" s="68"/>
      <c r="V167" s="68"/>
      <c r="W167" s="68"/>
    </row>
    <row r="168" spans="1:23" hidden="1">
      <c r="A168" s="69" t="str">
        <f t="shared" si="19"/>
        <v>Ginger</v>
      </c>
      <c r="B168" s="69"/>
      <c r="C168" s="159"/>
      <c r="D168" s="70">
        <f>(D100*(1-'5.Closing Stock &amp; W Capital'!$D$15))*$C168*D$124</f>
        <v>0</v>
      </c>
      <c r="E168" s="70">
        <f>((E100*(1-'5.Closing Stock &amp; W Capital'!$D$15))+(D100*'5.Closing Stock &amp; W Capital'!$D$15))*$C168*E$124</f>
        <v>0</v>
      </c>
      <c r="F168" s="70">
        <f>((F100*(1-'5.Closing Stock &amp; W Capital'!$D$15))+(E100*'5.Closing Stock &amp; W Capital'!$D$15))*$C$152*F$124</f>
        <v>0</v>
      </c>
      <c r="G168" s="70">
        <f>((G100*(1-'5.Closing Stock &amp; W Capital'!$D$15))+(F100*'5.Closing Stock &amp; W Capital'!$D$15))*$C$152*G$124</f>
        <v>0</v>
      </c>
      <c r="H168" s="70">
        <f>((H100*(1-'5.Closing Stock &amp; W Capital'!$D$15))+(G100*'5.Closing Stock &amp; W Capital'!$D$15))*$C$152*H$124</f>
        <v>0</v>
      </c>
      <c r="I168" s="70">
        <f>((I100*(1-'5.Closing Stock &amp; W Capital'!$D$15))+(H100*'5.Closing Stock &amp; W Capital'!$D$15))*$C$152*I$124</f>
        <v>0</v>
      </c>
      <c r="J168" s="70">
        <f>((J100*(1-'5.Closing Stock &amp; W Capital'!$D$15))+(I100*'5.Closing Stock &amp; W Capital'!$D$15))*$C$152*J$124</f>
        <v>0</v>
      </c>
      <c r="K168" s="68"/>
      <c r="U168" s="68"/>
      <c r="V168" s="68"/>
      <c r="W168" s="68"/>
    </row>
    <row r="169" spans="1:23" hidden="1">
      <c r="A169" s="69">
        <f t="shared" si="19"/>
        <v>0</v>
      </c>
      <c r="B169" s="69"/>
      <c r="C169" s="159"/>
      <c r="D169" s="70">
        <f>(D101*(1-'5.Closing Stock &amp; W Capital'!$D$15))*$C169*D$124</f>
        <v>0</v>
      </c>
      <c r="E169" s="70">
        <f>((E101*(1-'5.Closing Stock &amp; W Capital'!$D$15))+(D101*'5.Closing Stock &amp; W Capital'!$D$15))*$C169*E$124</f>
        <v>0</v>
      </c>
      <c r="F169" s="70">
        <f>((F101*(1-'5.Closing Stock &amp; W Capital'!$D$15))+(E101*'5.Closing Stock &amp; W Capital'!$D$15))*$C$152*F$124</f>
        <v>0</v>
      </c>
      <c r="G169" s="70">
        <f>((G101*(1-'5.Closing Stock &amp; W Capital'!$D$15))+(F101*'5.Closing Stock &amp; W Capital'!$D$15))*$C$152*G$124</f>
        <v>0</v>
      </c>
      <c r="H169" s="70">
        <f>((H101*(1-'5.Closing Stock &amp; W Capital'!$D$15))+(G101*'5.Closing Stock &amp; W Capital'!$D$15))*$C$152*H$124</f>
        <v>0</v>
      </c>
      <c r="I169" s="70">
        <f>((I101*(1-'5.Closing Stock &amp; W Capital'!$D$15))+(H101*'5.Closing Stock &amp; W Capital'!$D$15))*$C$152*I$124</f>
        <v>0</v>
      </c>
      <c r="J169" s="70">
        <f>((J101*(1-'5.Closing Stock &amp; W Capital'!$D$15))+(I101*'5.Closing Stock &amp; W Capital'!$D$15))*$C$152*J$124</f>
        <v>0</v>
      </c>
      <c r="K169" s="68"/>
      <c r="U169" s="68"/>
      <c r="V169" s="68"/>
      <c r="W169" s="68"/>
    </row>
    <row r="170" spans="1:23" hidden="1">
      <c r="A170" s="69">
        <f t="shared" si="19"/>
        <v>0</v>
      </c>
      <c r="B170" s="69"/>
      <c r="C170" s="159"/>
      <c r="D170" s="70">
        <f>(D102*(1-'5.Closing Stock &amp; W Capital'!$D$15))*$C170*D$124</f>
        <v>0</v>
      </c>
      <c r="E170" s="70">
        <f>((E102*(1-'5.Closing Stock &amp; W Capital'!$D$15))+(D102*'5.Closing Stock &amp; W Capital'!$D$15))*$C170*E$124</f>
        <v>0</v>
      </c>
      <c r="F170" s="70">
        <f>((F102*(1-'5.Closing Stock &amp; W Capital'!$D$15))+(E102*'5.Closing Stock &amp; W Capital'!$D$15))*$C$152*F$124</f>
        <v>0</v>
      </c>
      <c r="G170" s="70">
        <f>((G102*(1-'5.Closing Stock &amp; W Capital'!$D$15))+(F102*'5.Closing Stock &amp; W Capital'!$D$15))*$C$152*G$124</f>
        <v>0</v>
      </c>
      <c r="H170" s="70">
        <f>((H102*(1-'5.Closing Stock &amp; W Capital'!$D$15))+(G102*'5.Closing Stock &amp; W Capital'!$D$15))*$C$152*H$124</f>
        <v>0</v>
      </c>
      <c r="I170" s="70">
        <f>((I102*(1-'5.Closing Stock &amp; W Capital'!$D$15))+(H102*'5.Closing Stock &amp; W Capital'!$D$15))*$C$152*I$124</f>
        <v>0</v>
      </c>
      <c r="J170" s="70">
        <f>((J102*(1-'5.Closing Stock &amp; W Capital'!$D$15))+(I102*'5.Closing Stock &amp; W Capital'!$D$15))*$C$152*J$124</f>
        <v>0</v>
      </c>
      <c r="K170" s="68"/>
      <c r="U170" s="68"/>
      <c r="V170" s="68"/>
      <c r="W170" s="68"/>
    </row>
    <row r="171" spans="1:23" hidden="1">
      <c r="A171" s="69" t="str">
        <f t="shared" si="19"/>
        <v>Spinach</v>
      </c>
      <c r="B171" s="69"/>
      <c r="C171" s="159"/>
      <c r="D171" s="70">
        <f>(D103*(1-'5.Closing Stock &amp; W Capital'!$D$15))*$C171*D$124</f>
        <v>0</v>
      </c>
      <c r="E171" s="70">
        <f>((E103*(1-'5.Closing Stock &amp; W Capital'!$D$15))+(D103*'5.Closing Stock &amp; W Capital'!$D$15))*$C171*E$124</f>
        <v>0</v>
      </c>
      <c r="F171" s="70">
        <f>((F103*(1-'5.Closing Stock &amp; W Capital'!$D$15))+(E103*'5.Closing Stock &amp; W Capital'!$D$15))*$C$152*F$124</f>
        <v>0</v>
      </c>
      <c r="G171" s="70">
        <f>((G103*(1-'5.Closing Stock &amp; W Capital'!$D$15))+(F103*'5.Closing Stock &amp; W Capital'!$D$15))*$C$152*G$124</f>
        <v>0</v>
      </c>
      <c r="H171" s="70">
        <f>((H103*(1-'5.Closing Stock &amp; W Capital'!$D$15))+(G103*'5.Closing Stock &amp; W Capital'!$D$15))*$C$152*H$124</f>
        <v>0</v>
      </c>
      <c r="I171" s="70">
        <f>((I103*(1-'5.Closing Stock &amp; W Capital'!$D$15))+(H103*'5.Closing Stock &amp; W Capital'!$D$15))*$C$152*I$124</f>
        <v>0</v>
      </c>
      <c r="J171" s="70">
        <f>((J103*(1-'5.Closing Stock &amp; W Capital'!$D$15))+(I103*'5.Closing Stock &amp; W Capital'!$D$15))*$C$152*J$124</f>
        <v>0</v>
      </c>
      <c r="K171" s="68"/>
      <c r="U171" s="68"/>
      <c r="V171" s="68"/>
      <c r="W171" s="68"/>
    </row>
    <row r="172" spans="1:23" hidden="1">
      <c r="A172" s="69" t="str">
        <f t="shared" si="19"/>
        <v>Fenugreek</v>
      </c>
      <c r="B172" s="69"/>
      <c r="C172" s="159"/>
      <c r="D172" s="70">
        <f>(D104*(1-'5.Closing Stock &amp; W Capital'!$D$15))*$C172*D$124</f>
        <v>0</v>
      </c>
      <c r="E172" s="70">
        <f>((E104*(1-'5.Closing Stock &amp; W Capital'!$D$15))+(D104*'5.Closing Stock &amp; W Capital'!$D$15))*$C172*E$124</f>
        <v>0</v>
      </c>
      <c r="F172" s="70">
        <f>((F104*(1-'5.Closing Stock &amp; W Capital'!$D$15))+(E104*'5.Closing Stock &amp; W Capital'!$D$15))*$C$152*F$124</f>
        <v>0</v>
      </c>
      <c r="G172" s="70">
        <f>((G104*(1-'5.Closing Stock &amp; W Capital'!$D$15))+(F104*'5.Closing Stock &amp; W Capital'!$D$15))*$C$152*G$124</f>
        <v>0</v>
      </c>
      <c r="H172" s="70">
        <f>((H104*(1-'5.Closing Stock &amp; W Capital'!$D$15))+(G104*'5.Closing Stock &amp; W Capital'!$D$15))*$C$152*H$124</f>
        <v>0</v>
      </c>
      <c r="I172" s="70">
        <f>((I104*(1-'5.Closing Stock &amp; W Capital'!$D$15))+(H104*'5.Closing Stock &amp; W Capital'!$D$15))*$C$152*I$124</f>
        <v>0</v>
      </c>
      <c r="J172" s="70">
        <f>((J104*(1-'5.Closing Stock &amp; W Capital'!$D$15))+(I104*'5.Closing Stock &amp; W Capital'!$D$15))*$C$152*J$124</f>
        <v>0</v>
      </c>
      <c r="K172" s="68"/>
      <c r="U172" s="68"/>
      <c r="V172" s="68"/>
      <c r="W172" s="68"/>
    </row>
    <row r="173" spans="1:23" hidden="1">
      <c r="A173" s="69" t="str">
        <f t="shared" si="19"/>
        <v>coriander</v>
      </c>
      <c r="B173" s="69"/>
      <c r="C173" s="159"/>
      <c r="D173" s="70">
        <f>(D105*(1-'5.Closing Stock &amp; W Capital'!$D$15))*$C173*D$124</f>
        <v>0</v>
      </c>
      <c r="E173" s="70">
        <f>((E105*(1-'5.Closing Stock &amp; W Capital'!$D$15))+(D105*'5.Closing Stock &amp; W Capital'!$D$15))*$C173*E$124</f>
        <v>0</v>
      </c>
      <c r="F173" s="70">
        <f>((F105*(1-'5.Closing Stock &amp; W Capital'!$D$15))+(E105*'5.Closing Stock &amp; W Capital'!$D$15))*$C$152*F$124</f>
        <v>0</v>
      </c>
      <c r="G173" s="70">
        <f>((G105*(1-'5.Closing Stock &amp; W Capital'!$D$15))+(F105*'5.Closing Stock &amp; W Capital'!$D$15))*$C$152*G$124</f>
        <v>0</v>
      </c>
      <c r="H173" s="70">
        <f>((H105*(1-'5.Closing Stock &amp; W Capital'!$D$15))+(G105*'5.Closing Stock &amp; W Capital'!$D$15))*$C$152*H$124</f>
        <v>0</v>
      </c>
      <c r="I173" s="70">
        <f>((I105*(1-'5.Closing Stock &amp; W Capital'!$D$15))+(H105*'5.Closing Stock &amp; W Capital'!$D$15))*$C$152*I$124</f>
        <v>0</v>
      </c>
      <c r="J173" s="70">
        <f>((J105*(1-'5.Closing Stock &amp; W Capital'!$D$15))+(I105*'5.Closing Stock &amp; W Capital'!$D$15))*$C$152*J$124</f>
        <v>0</v>
      </c>
      <c r="K173" s="68"/>
      <c r="U173" s="68"/>
      <c r="V173" s="68"/>
      <c r="W173" s="68"/>
    </row>
    <row r="174" spans="1:23" ht="15.75" hidden="1" customHeight="1">
      <c r="A174" s="69" t="str">
        <f t="shared" si="19"/>
        <v>Shepu</v>
      </c>
      <c r="B174" s="69"/>
      <c r="C174" s="159"/>
      <c r="D174" s="70">
        <f>(D106*(1-'5.Closing Stock &amp; W Capital'!$D$15))*$C174*D$124</f>
        <v>0</v>
      </c>
      <c r="E174" s="70">
        <f>((E106*(1-'5.Closing Stock &amp; W Capital'!$D$15))+(D106*'5.Closing Stock &amp; W Capital'!$D$15))*$C174*E$124</f>
        <v>0</v>
      </c>
      <c r="F174" s="70">
        <f>((F106*(1-'5.Closing Stock &amp; W Capital'!$D$15))+(E106*'5.Closing Stock &amp; W Capital'!$D$15))*$C$152*F$124</f>
        <v>0</v>
      </c>
      <c r="G174" s="70">
        <f>((G106*(1-'5.Closing Stock &amp; W Capital'!$D$15))+(F106*'5.Closing Stock &amp; W Capital'!$D$15))*$C$152*G$124</f>
        <v>0</v>
      </c>
      <c r="H174" s="70">
        <f>((H106*(1-'5.Closing Stock &amp; W Capital'!$D$15))+(G106*'5.Closing Stock &amp; W Capital'!$D$15))*$C$152*H$124</f>
        <v>0</v>
      </c>
      <c r="I174" s="70">
        <f>((I106*(1-'5.Closing Stock &amp; W Capital'!$D$15))+(H106*'5.Closing Stock &amp; W Capital'!$D$15))*$C$152*I$124</f>
        <v>0</v>
      </c>
      <c r="J174" s="70">
        <f>((J106*(1-'5.Closing Stock &amp; W Capital'!$D$15))+(I106*'5.Closing Stock &amp; W Capital'!$D$15))*$C$152*J$124</f>
        <v>0</v>
      </c>
      <c r="K174" s="68"/>
      <c r="U174" s="68"/>
      <c r="V174" s="68"/>
      <c r="W174" s="68"/>
    </row>
    <row r="175" spans="1:23" hidden="1">
      <c r="A175" s="69" t="str">
        <f t="shared" si="19"/>
        <v>Pomegranate</v>
      </c>
      <c r="B175" s="69"/>
      <c r="C175" s="159"/>
      <c r="D175" s="70">
        <f>(D107*(1-'5.Closing Stock &amp; W Capital'!$D$15))*$C175*D$124</f>
        <v>0</v>
      </c>
      <c r="E175" s="70">
        <f>((E107*(1-'5.Closing Stock &amp; W Capital'!$D$15))+(D107*'5.Closing Stock &amp; W Capital'!$D$15))*$C175*E$124</f>
        <v>0</v>
      </c>
      <c r="F175" s="70">
        <f>((F107*(1-'5.Closing Stock &amp; W Capital'!$D$15))+(E107*'5.Closing Stock &amp; W Capital'!$D$15))*$C$152*F$124</f>
        <v>0</v>
      </c>
      <c r="G175" s="70">
        <f>((G107*(1-'5.Closing Stock &amp; W Capital'!$D$15))+(F107*'5.Closing Stock &amp; W Capital'!$D$15))*$C$152*G$124</f>
        <v>0</v>
      </c>
      <c r="H175" s="70">
        <f>((H107*(1-'5.Closing Stock &amp; W Capital'!$D$15))+(G107*'5.Closing Stock &amp; W Capital'!$D$15))*$C$152*H$124</f>
        <v>0</v>
      </c>
      <c r="I175" s="70">
        <f>((I107*(1-'5.Closing Stock &amp; W Capital'!$D$15))+(H107*'5.Closing Stock &amp; W Capital'!$D$15))*$C$152*I$124</f>
        <v>0</v>
      </c>
      <c r="J175" s="70">
        <f>((J107*(1-'5.Closing Stock &amp; W Capital'!$D$15))+(I107*'5.Closing Stock &amp; W Capital'!$D$15))*$C$152*J$124</f>
        <v>0</v>
      </c>
      <c r="K175" s="68"/>
      <c r="U175" s="68"/>
      <c r="V175" s="68"/>
      <c r="W175" s="68"/>
    </row>
    <row r="176" spans="1:23" hidden="1">
      <c r="A176" s="69" t="str">
        <f t="shared" si="19"/>
        <v>Banana</v>
      </c>
      <c r="B176" s="69"/>
      <c r="C176" s="159"/>
      <c r="D176" s="70">
        <f>(D108*(1-'5.Closing Stock &amp; W Capital'!$D$15))*$C176*D$124</f>
        <v>0</v>
      </c>
      <c r="E176" s="70">
        <f>((E108*(1-'5.Closing Stock &amp; W Capital'!$D$15))+(D108*'5.Closing Stock &amp; W Capital'!$D$15))*$C176*E$124</f>
        <v>0</v>
      </c>
      <c r="F176" s="70">
        <f>((F108*(1-'5.Closing Stock &amp; W Capital'!$D$15))+(E108*'5.Closing Stock &amp; W Capital'!$D$15))*$C$152*F$124</f>
        <v>0</v>
      </c>
      <c r="G176" s="70">
        <f>((G108*(1-'5.Closing Stock &amp; W Capital'!$D$15))+(F108*'5.Closing Stock &amp; W Capital'!$D$15))*$C$152*G$124</f>
        <v>0</v>
      </c>
      <c r="H176" s="70">
        <f>((H108*(1-'5.Closing Stock &amp; W Capital'!$D$15))+(G108*'5.Closing Stock &amp; W Capital'!$D$15))*$C$152*H$124</f>
        <v>0</v>
      </c>
      <c r="I176" s="70">
        <f>((I108*(1-'5.Closing Stock &amp; W Capital'!$D$15))+(H108*'5.Closing Stock &amp; W Capital'!$D$15))*$C$152*I$124</f>
        <v>0</v>
      </c>
      <c r="J176" s="70">
        <f>((J108*(1-'5.Closing Stock &amp; W Capital'!$D$15))+(I108*'5.Closing Stock &amp; W Capital'!$D$15))*$C$152*J$124</f>
        <v>0</v>
      </c>
      <c r="K176" s="68"/>
      <c r="U176" s="68"/>
      <c r="V176" s="68"/>
      <c r="W176" s="68"/>
    </row>
    <row r="177" spans="1:23" hidden="1">
      <c r="A177" s="69" t="str">
        <f t="shared" si="19"/>
        <v>Graps</v>
      </c>
      <c r="B177" s="69"/>
      <c r="C177" s="159"/>
      <c r="D177" s="70">
        <f>(D109*(1-'5.Closing Stock &amp; W Capital'!$D$15))*$C177*D$124</f>
        <v>0</v>
      </c>
      <c r="E177" s="70">
        <f>((E109*(1-'5.Closing Stock &amp; W Capital'!$D$15))+(D109*'5.Closing Stock &amp; W Capital'!$D$15))*$C177*E$124</f>
        <v>0</v>
      </c>
      <c r="F177" s="70">
        <f>((F109*(1-'5.Closing Stock &amp; W Capital'!$D$15))+(E109*'5.Closing Stock &amp; W Capital'!$D$15))*$C$152*F$124</f>
        <v>0</v>
      </c>
      <c r="G177" s="70">
        <f>((G109*(1-'5.Closing Stock &amp; W Capital'!$D$15))+(F109*'5.Closing Stock &amp; W Capital'!$D$15))*$C$152*G$124</f>
        <v>0</v>
      </c>
      <c r="H177" s="70">
        <f>((H109*(1-'5.Closing Stock &amp; W Capital'!$D$15))+(G109*'5.Closing Stock &amp; W Capital'!$D$15))*$C$152*H$124</f>
        <v>0</v>
      </c>
      <c r="I177" s="70">
        <f>((I109*(1-'5.Closing Stock &amp; W Capital'!$D$15))+(H109*'5.Closing Stock &amp; W Capital'!$D$15))*$C$152*I$124</f>
        <v>0</v>
      </c>
      <c r="J177" s="70">
        <f>((J109*(1-'5.Closing Stock &amp; W Capital'!$D$15))+(I109*'5.Closing Stock &amp; W Capital'!$D$15))*$C$152*J$124</f>
        <v>0</v>
      </c>
      <c r="K177" s="68"/>
      <c r="U177" s="68"/>
      <c r="V177" s="68"/>
      <c r="W177" s="68"/>
    </row>
    <row r="178" spans="1:23" hidden="1">
      <c r="A178" s="69" t="str">
        <f t="shared" si="19"/>
        <v>Citrus</v>
      </c>
      <c r="B178" s="69"/>
      <c r="C178" s="159"/>
      <c r="D178" s="70">
        <f>(D110*(1-'5.Closing Stock &amp; W Capital'!$D$15))*$C178*D$124</f>
        <v>0</v>
      </c>
      <c r="E178" s="70">
        <f>((E110*(1-'5.Closing Stock &amp; W Capital'!$D$15))+(D110*'5.Closing Stock &amp; W Capital'!$D$15))*$C178*E$124</f>
        <v>0</v>
      </c>
      <c r="F178" s="70">
        <f>((F110*(1-'5.Closing Stock &amp; W Capital'!$D$15))+(E110*'5.Closing Stock &amp; W Capital'!$D$15))*$C$152*F$124</f>
        <v>0</v>
      </c>
      <c r="G178" s="70">
        <f>((G110*(1-'5.Closing Stock &amp; W Capital'!$D$15))+(F110*'5.Closing Stock &amp; W Capital'!$D$15))*$C$152*G$124</f>
        <v>0</v>
      </c>
      <c r="H178" s="70">
        <f>((H110*(1-'5.Closing Stock &amp; W Capital'!$D$15))+(G110*'5.Closing Stock &amp; W Capital'!$D$15))*$C$152*H$124</f>
        <v>0</v>
      </c>
      <c r="I178" s="70">
        <f>((I110*(1-'5.Closing Stock &amp; W Capital'!$D$15))+(H110*'5.Closing Stock &amp; W Capital'!$D$15))*$C$152*I$124</f>
        <v>0</v>
      </c>
      <c r="J178" s="70">
        <f>((J110*(1-'5.Closing Stock &amp; W Capital'!$D$15))+(I110*'5.Closing Stock &amp; W Capital'!$D$15))*$C$152*J$124</f>
        <v>0</v>
      </c>
      <c r="K178" s="68"/>
      <c r="U178" s="68"/>
      <c r="V178" s="68"/>
      <c r="W178" s="68"/>
    </row>
    <row r="179" spans="1:23" hidden="1">
      <c r="A179" s="69">
        <f t="shared" si="19"/>
        <v>0</v>
      </c>
      <c r="B179" s="69"/>
      <c r="C179" s="159"/>
      <c r="D179" s="70"/>
      <c r="E179" s="70"/>
      <c r="F179" s="70"/>
      <c r="G179" s="70"/>
      <c r="H179" s="70"/>
      <c r="I179" s="70"/>
      <c r="J179" s="70"/>
      <c r="K179" s="68"/>
      <c r="U179" s="68"/>
      <c r="V179" s="68"/>
      <c r="W179" s="68"/>
    </row>
    <row r="180" spans="1:23" ht="6.75" customHeight="1">
      <c r="A180" s="69"/>
      <c r="B180" s="69"/>
      <c r="C180" s="159"/>
      <c r="D180" s="70"/>
      <c r="E180" s="70"/>
      <c r="F180" s="70"/>
      <c r="G180" s="70"/>
      <c r="H180" s="70"/>
      <c r="I180" s="70"/>
      <c r="J180" s="70"/>
      <c r="K180" s="68"/>
      <c r="U180" s="68"/>
      <c r="V180" s="68"/>
      <c r="W180" s="68"/>
    </row>
    <row r="181" spans="1:23">
      <c r="A181" s="69" t="s">
        <v>289</v>
      </c>
      <c r="B181" s="69"/>
      <c r="C181" s="159"/>
      <c r="D181" s="70"/>
      <c r="E181" s="70"/>
      <c r="F181" s="70"/>
      <c r="G181" s="70"/>
      <c r="H181" s="70"/>
      <c r="I181" s="70"/>
      <c r="J181" s="70"/>
      <c r="K181" s="68"/>
      <c r="U181" s="68"/>
      <c r="V181" s="68"/>
      <c r="W181" s="68"/>
    </row>
    <row r="182" spans="1:23">
      <c r="A182" s="69" t="s">
        <v>408</v>
      </c>
      <c r="B182" s="69"/>
      <c r="C182" s="587">
        <v>7</v>
      </c>
      <c r="D182" s="70">
        <f>(D114*(1-'5.Closing Stock &amp; W Capital'!$D$15))*$C$182*D124</f>
        <v>0</v>
      </c>
      <c r="E182" s="70">
        <f>((E114*(1-'5.Closing Stock &amp; W Capital'!$D$15))+(D114*'5.Closing Stock &amp; W Capital'!$D$15))*$C$182*E124</f>
        <v>0</v>
      </c>
      <c r="F182" s="70">
        <f>((F114*(1-'5.Closing Stock &amp; W Capital'!$D$15))+(E114*'5.Closing Stock &amp; W Capital'!$D$15))*$C$182*F124</f>
        <v>0</v>
      </c>
      <c r="G182" s="70">
        <f>((G114*(1-'5.Closing Stock &amp; W Capital'!$D$15))+(F114*'5.Closing Stock &amp; W Capital'!$D$15))*$C$182*G124</f>
        <v>0</v>
      </c>
      <c r="H182" s="70">
        <f>((H114*(1-'5.Closing Stock &amp; W Capital'!$D$15))+(G114*'5.Closing Stock &amp; W Capital'!$D$15))*$C$182*H124</f>
        <v>0</v>
      </c>
      <c r="I182" s="70">
        <f>((I114*(1-'5.Closing Stock &amp; W Capital'!$D$15))+(H114*'5.Closing Stock &amp; W Capital'!$D$15))*$C$182*I124</f>
        <v>0</v>
      </c>
      <c r="J182" s="70">
        <f>((J114*(1-'5.Closing Stock &amp; W Capital'!$D$15))+(I114*'5.Closing Stock &amp; W Capital'!$D$15))*$C$182*J124</f>
        <v>0</v>
      </c>
      <c r="K182" s="68"/>
      <c r="U182" s="68"/>
      <c r="V182" s="68"/>
      <c r="W182" s="68"/>
    </row>
    <row r="183" spans="1:23">
      <c r="A183" s="69" t="s">
        <v>179</v>
      </c>
      <c r="B183" s="69"/>
      <c r="C183" s="587">
        <v>7.5</v>
      </c>
      <c r="D183" s="70">
        <f>(D115*(1-'5.Closing Stock &amp; W Capital'!$D$15))*$C$183*D124</f>
        <v>0</v>
      </c>
      <c r="E183" s="70">
        <f>((E115*(1-'5.Closing Stock &amp; W Capital'!$D$15))+(D115*'5.Closing Stock &amp; W Capital'!$D$15))*$C$183*E124</f>
        <v>0</v>
      </c>
      <c r="F183" s="70">
        <f>((F115*(1-'5.Closing Stock &amp; W Capital'!$D$15))+(E115*'5.Closing Stock &amp; W Capital'!$D$15))*$C$183*F124</f>
        <v>0</v>
      </c>
      <c r="G183" s="70">
        <f>((G115*(1-'5.Closing Stock &amp; W Capital'!$D$15))+(F115*'5.Closing Stock &amp; W Capital'!$D$15))*$C$183*G124</f>
        <v>0</v>
      </c>
      <c r="H183" s="70">
        <f>((H115*(1-'5.Closing Stock &amp; W Capital'!$D$15))+(G115*'5.Closing Stock &amp; W Capital'!$D$15))*$C$183*H124</f>
        <v>0</v>
      </c>
      <c r="I183" s="70">
        <f>((I115*(1-'5.Closing Stock &amp; W Capital'!$D$15))+(H115*'5.Closing Stock &amp; W Capital'!$D$15))*$C$183*I124</f>
        <v>0</v>
      </c>
      <c r="J183" s="70">
        <f>((J115*(1-'5.Closing Stock &amp; W Capital'!$D$15))+(I115*'5.Closing Stock &amp; W Capital'!$D$15))*$C$183*J124</f>
        <v>0</v>
      </c>
      <c r="K183" s="68"/>
      <c r="U183" s="68"/>
      <c r="V183" s="68"/>
      <c r="W183" s="68"/>
    </row>
    <row r="184" spans="1:23">
      <c r="A184" s="69" t="s">
        <v>181</v>
      </c>
      <c r="B184" s="69"/>
      <c r="C184" s="587">
        <v>28</v>
      </c>
      <c r="D184" s="70">
        <f>(D116*(1-'5.Closing Stock &amp; W Capital'!$D$15))*$C$184*D124</f>
        <v>0</v>
      </c>
      <c r="E184" s="70">
        <f>((E116*(1-'5.Closing Stock &amp; W Capital'!$D$15))+(D116*'5.Closing Stock &amp; W Capital'!$D$15))*$C$184*E124</f>
        <v>0</v>
      </c>
      <c r="F184" s="70">
        <f>((F116*(1-'5.Closing Stock &amp; W Capital'!$D$15))+(E116*'5.Closing Stock &amp; W Capital'!$D$15))*$C$184*F124</f>
        <v>0</v>
      </c>
      <c r="G184" s="70">
        <f>((G116*(1-'5.Closing Stock &amp; W Capital'!$D$15))+(F116*'5.Closing Stock &amp; W Capital'!$D$15))*$C$184*G124</f>
        <v>0</v>
      </c>
      <c r="H184" s="70">
        <f>((H116*(1-'5.Closing Stock &amp; W Capital'!$D$15))+(G116*'5.Closing Stock &amp; W Capital'!$D$15))*$C$184*H124</f>
        <v>0</v>
      </c>
      <c r="I184" s="70">
        <f>((I116*(1-'5.Closing Stock &amp; W Capital'!$D$15))+(H116*'5.Closing Stock &amp; W Capital'!$D$15))*$C$184*I124</f>
        <v>0</v>
      </c>
      <c r="J184" s="70">
        <f>((J116*(1-'5.Closing Stock &amp; W Capital'!$D$15))+(I116*'5.Closing Stock &amp; W Capital'!$D$15))*$C$184*J124</f>
        <v>0</v>
      </c>
      <c r="K184" s="68"/>
      <c r="U184" s="68"/>
      <c r="V184" s="68"/>
      <c r="W184" s="68"/>
    </row>
    <row r="185" spans="1:23" ht="6.75" customHeight="1">
      <c r="A185" s="69"/>
      <c r="B185" s="69"/>
      <c r="C185" s="70"/>
      <c r="D185" s="70"/>
      <c r="E185" s="70"/>
      <c r="F185" s="70"/>
      <c r="G185" s="70"/>
      <c r="H185" s="70"/>
      <c r="I185" s="70"/>
      <c r="J185" s="70"/>
      <c r="K185" s="68"/>
      <c r="U185" s="68"/>
      <c r="V185" s="68"/>
      <c r="W185" s="68"/>
    </row>
    <row r="186" spans="1:23">
      <c r="A186" s="69" t="s">
        <v>180</v>
      </c>
      <c r="B186" s="69"/>
      <c r="C186" s="70"/>
      <c r="D186" s="70"/>
      <c r="E186" s="70"/>
      <c r="F186" s="70"/>
      <c r="G186" s="70"/>
      <c r="H186" s="70"/>
      <c r="I186" s="70"/>
      <c r="J186" s="70"/>
      <c r="K186" s="68"/>
      <c r="U186" s="68"/>
      <c r="V186" s="68"/>
      <c r="W186" s="68"/>
    </row>
    <row r="187" spans="1:23">
      <c r="A187" s="69" t="s">
        <v>186</v>
      </c>
      <c r="B187" s="69"/>
      <c r="C187" s="159">
        <v>2900</v>
      </c>
      <c r="D187" s="70">
        <f>(D118*(1-'5.Closing Stock &amp; W Capital'!$D$15))*$C$187*D124</f>
        <v>0</v>
      </c>
      <c r="E187" s="70">
        <f>((E118*(1-'5.Closing Stock &amp; W Capital'!$D$15))+(D118*'5.Closing Stock &amp; W Capital'!$D$15))*$C$187*E124</f>
        <v>0</v>
      </c>
      <c r="F187" s="70">
        <f>((F118*(1-'5.Closing Stock &amp; W Capital'!$D$15))+(E118*'5.Closing Stock &amp; W Capital'!$D$15))*$C$187*F124</f>
        <v>0</v>
      </c>
      <c r="G187" s="70">
        <f>((G118*(1-'5.Closing Stock &amp; W Capital'!$D$15))+(F118*'5.Closing Stock &amp; W Capital'!$D$15))*$C$187*G124</f>
        <v>0</v>
      </c>
      <c r="H187" s="70">
        <f>((H118*(1-'5.Closing Stock &amp; W Capital'!$D$15))+(G118*'5.Closing Stock &amp; W Capital'!$D$15))*$C$187*H124</f>
        <v>0</v>
      </c>
      <c r="I187" s="70">
        <f>((I118*(1-'5.Closing Stock &amp; W Capital'!$D$15))+(H118*'5.Closing Stock &amp; W Capital'!$D$15))*$C$187*I124</f>
        <v>0</v>
      </c>
      <c r="J187" s="70">
        <f>((J118*(1-'5.Closing Stock &amp; W Capital'!$D$15))+(I118*'5.Closing Stock &amp; W Capital'!$D$15))*$C$187*J124</f>
        <v>0</v>
      </c>
      <c r="K187" s="68">
        <v>3000</v>
      </c>
      <c r="U187" s="166"/>
      <c r="V187" s="166"/>
      <c r="W187" s="166"/>
    </row>
    <row r="188" spans="1:23">
      <c r="A188" s="69" t="s">
        <v>187</v>
      </c>
      <c r="B188" s="69"/>
      <c r="C188" s="159">
        <v>2100</v>
      </c>
      <c r="D188" s="70">
        <f>(D119*(1-'5.Closing Stock &amp; W Capital'!$D$15))*$C$188*D124</f>
        <v>0</v>
      </c>
      <c r="E188" s="70">
        <f>((E119*(1-'5.Closing Stock &amp; W Capital'!$D$15))+(D119*'5.Closing Stock &amp; W Capital'!$D$15))*$C$188*E124</f>
        <v>0</v>
      </c>
      <c r="F188" s="70">
        <f>((F119*(1-'5.Closing Stock &amp; W Capital'!$D$15))+(E119*'5.Closing Stock &amp; W Capital'!$D$15))*$C$188*F124</f>
        <v>0</v>
      </c>
      <c r="G188" s="70">
        <f>((G119*(1-'5.Closing Stock &amp; W Capital'!$D$15))+(F119*'5.Closing Stock &amp; W Capital'!$D$15))*$C$188*G124</f>
        <v>0</v>
      </c>
      <c r="H188" s="70">
        <f>((H119*(1-'5.Closing Stock &amp; W Capital'!$D$15))+(G119*'5.Closing Stock &amp; W Capital'!$D$15))*$C$188*H124</f>
        <v>0</v>
      </c>
      <c r="I188" s="70">
        <f>((I119*(1-'5.Closing Stock &amp; W Capital'!$D$15))+(H119*'5.Closing Stock &amp; W Capital'!$D$15))*$C$188*I124</f>
        <v>0</v>
      </c>
      <c r="J188" s="70">
        <f>((J119*(1-'5.Closing Stock &amp; W Capital'!$D$15))+(I119*'5.Closing Stock &amp; W Capital'!$D$15))*$C$188*J124</f>
        <v>0</v>
      </c>
      <c r="K188" s="68">
        <v>2200</v>
      </c>
      <c r="U188" s="68"/>
      <c r="V188" s="68"/>
      <c r="W188" s="68"/>
    </row>
    <row r="189" spans="1:23" hidden="1">
      <c r="A189" s="69"/>
      <c r="B189" s="69"/>
      <c r="C189" s="159"/>
      <c r="D189" s="70"/>
      <c r="E189" s="70"/>
      <c r="F189" s="70"/>
      <c r="G189" s="70"/>
      <c r="H189" s="70"/>
      <c r="I189" s="70"/>
      <c r="J189" s="70"/>
      <c r="K189" s="68"/>
      <c r="U189" s="68"/>
      <c r="V189" s="68"/>
      <c r="W189" s="68"/>
    </row>
    <row r="190" spans="1:23" ht="6.75" customHeight="1">
      <c r="A190" s="69"/>
      <c r="B190" s="69"/>
      <c r="C190" s="159">
        <v>22</v>
      </c>
      <c r="D190" s="70"/>
      <c r="E190" s="70"/>
      <c r="F190" s="70"/>
      <c r="G190" s="70"/>
      <c r="H190" s="70"/>
      <c r="I190" s="70"/>
      <c r="J190" s="70"/>
      <c r="K190" s="68"/>
      <c r="U190" s="68"/>
      <c r="V190" s="68"/>
      <c r="W190" s="68"/>
    </row>
    <row r="191" spans="1:23">
      <c r="A191" s="71" t="s">
        <v>143</v>
      </c>
      <c r="B191" s="71"/>
      <c r="C191" s="580"/>
      <c r="D191" s="87">
        <f t="shared" ref="D191:J191" si="20">SUM(D130:D188)</f>
        <v>0</v>
      </c>
      <c r="E191" s="87">
        <f t="shared" si="20"/>
        <v>0</v>
      </c>
      <c r="F191" s="87">
        <f t="shared" si="20"/>
        <v>0</v>
      </c>
      <c r="G191" s="87">
        <f t="shared" si="20"/>
        <v>0</v>
      </c>
      <c r="H191" s="87">
        <f t="shared" si="20"/>
        <v>0</v>
      </c>
      <c r="I191" s="87">
        <f t="shared" si="20"/>
        <v>0</v>
      </c>
      <c r="J191" s="87">
        <f t="shared" si="20"/>
        <v>0</v>
      </c>
      <c r="K191" s="68"/>
      <c r="U191" s="68"/>
      <c r="V191" s="68"/>
      <c r="W191" s="68"/>
    </row>
    <row r="192" spans="1:23" hidden="1">
      <c r="A192" s="69"/>
      <c r="B192" s="69"/>
      <c r="C192" s="159"/>
      <c r="D192" s="70"/>
      <c r="E192" s="70"/>
      <c r="F192" s="70"/>
      <c r="G192" s="70"/>
      <c r="H192" s="70"/>
      <c r="I192" s="70"/>
      <c r="J192" s="70"/>
      <c r="K192" s="68"/>
      <c r="U192" s="68"/>
      <c r="V192" s="68"/>
      <c r="W192" s="68"/>
    </row>
    <row r="193" spans="1:23" ht="6.75" customHeight="1">
      <c r="A193" s="69"/>
      <c r="B193" s="69"/>
      <c r="C193" s="159"/>
      <c r="D193" s="70"/>
      <c r="E193" s="70"/>
      <c r="F193" s="70"/>
      <c r="G193" s="70"/>
      <c r="H193" s="70"/>
      <c r="I193" s="70"/>
      <c r="J193" s="70"/>
      <c r="K193" s="68"/>
      <c r="U193" s="68"/>
      <c r="V193" s="68"/>
      <c r="W193" s="68"/>
    </row>
    <row r="194" spans="1:23">
      <c r="A194" s="71" t="s">
        <v>142</v>
      </c>
      <c r="B194" s="71"/>
      <c r="C194" s="159"/>
      <c r="D194" s="70"/>
      <c r="E194" s="70"/>
      <c r="F194" s="70"/>
      <c r="G194" s="70"/>
      <c r="H194" s="70"/>
      <c r="I194" s="70"/>
      <c r="J194" s="70"/>
      <c r="K194" s="68"/>
      <c r="U194" s="68"/>
      <c r="V194" s="68"/>
      <c r="W194" s="68"/>
    </row>
    <row r="195" spans="1:23">
      <c r="A195" s="71" t="str">
        <f>A128</f>
        <v>Seeds (Rate/KG)</v>
      </c>
      <c r="B195" s="71"/>
      <c r="C195" s="159"/>
      <c r="D195" s="70"/>
      <c r="E195" s="70"/>
      <c r="F195" s="70"/>
      <c r="G195" s="70"/>
      <c r="H195" s="70"/>
      <c r="I195" s="70"/>
      <c r="J195" s="70"/>
      <c r="K195" s="68"/>
      <c r="U195" s="68"/>
      <c r="V195" s="68"/>
      <c r="W195" s="68"/>
    </row>
    <row r="196" spans="1:23">
      <c r="A196" s="68" t="s">
        <v>314</v>
      </c>
      <c r="B196" s="68"/>
      <c r="C196" s="68"/>
      <c r="D196" s="68"/>
      <c r="E196" s="68"/>
      <c r="F196" s="68"/>
      <c r="G196" s="68"/>
      <c r="H196" s="68"/>
      <c r="I196" s="68"/>
      <c r="J196" s="68"/>
      <c r="K196" s="68"/>
      <c r="U196" s="68"/>
      <c r="V196" s="68"/>
      <c r="W196" s="68"/>
    </row>
    <row r="197" spans="1:23">
      <c r="A197" s="69" t="str">
        <f t="shared" ref="A197:A238" si="21">A130</f>
        <v>Soybean</v>
      </c>
      <c r="B197" s="68"/>
      <c r="C197" s="159">
        <v>78</v>
      </c>
      <c r="D197" s="70">
        <f t="shared" ref="D197:J206" si="22">D62*$C197*D$124</f>
        <v>0</v>
      </c>
      <c r="E197" s="70">
        <f t="shared" si="22"/>
        <v>0</v>
      </c>
      <c r="F197" s="70">
        <f t="shared" si="22"/>
        <v>0</v>
      </c>
      <c r="G197" s="70">
        <f t="shared" si="22"/>
        <v>0</v>
      </c>
      <c r="H197" s="70">
        <f t="shared" si="22"/>
        <v>0</v>
      </c>
      <c r="I197" s="70">
        <f t="shared" si="22"/>
        <v>0</v>
      </c>
      <c r="J197" s="70">
        <f t="shared" si="22"/>
        <v>0</v>
      </c>
      <c r="K197" s="68"/>
      <c r="U197" s="68"/>
      <c r="V197" s="68"/>
      <c r="W197" s="68"/>
    </row>
    <row r="198" spans="1:23">
      <c r="A198" s="69" t="str">
        <f t="shared" si="21"/>
        <v>Red Gram/Tur</v>
      </c>
      <c r="B198" s="69"/>
      <c r="C198" s="159">
        <v>75</v>
      </c>
      <c r="D198" s="70">
        <f t="shared" si="22"/>
        <v>0</v>
      </c>
      <c r="E198" s="70">
        <f t="shared" si="22"/>
        <v>0</v>
      </c>
      <c r="F198" s="70">
        <f t="shared" si="22"/>
        <v>0</v>
      </c>
      <c r="G198" s="70">
        <f t="shared" si="22"/>
        <v>0</v>
      </c>
      <c r="H198" s="70">
        <f t="shared" si="22"/>
        <v>0</v>
      </c>
      <c r="I198" s="70">
        <f t="shared" si="22"/>
        <v>0</v>
      </c>
      <c r="J198" s="70">
        <f t="shared" si="22"/>
        <v>0</v>
      </c>
      <c r="K198" s="68"/>
      <c r="U198" s="68"/>
      <c r="V198" s="68"/>
      <c r="W198" s="68"/>
    </row>
    <row r="199" spans="1:23" hidden="1">
      <c r="A199" s="69" t="str">
        <f t="shared" si="21"/>
        <v>Paddy/Rice</v>
      </c>
      <c r="B199" s="69"/>
      <c r="C199" s="159">
        <v>0</v>
      </c>
      <c r="D199" s="70">
        <f t="shared" si="22"/>
        <v>0</v>
      </c>
      <c r="E199" s="70">
        <f t="shared" si="22"/>
        <v>0</v>
      </c>
      <c r="F199" s="70">
        <f t="shared" si="22"/>
        <v>0</v>
      </c>
      <c r="G199" s="70">
        <f t="shared" si="22"/>
        <v>0</v>
      </c>
      <c r="H199" s="70">
        <f t="shared" si="22"/>
        <v>0</v>
      </c>
      <c r="I199" s="70">
        <f t="shared" si="22"/>
        <v>0</v>
      </c>
      <c r="J199" s="70">
        <f t="shared" si="22"/>
        <v>0</v>
      </c>
      <c r="K199" s="68"/>
      <c r="U199" s="68"/>
      <c r="V199" s="68"/>
      <c r="W199" s="68"/>
    </row>
    <row r="200" spans="1:23">
      <c r="A200" s="69" t="str">
        <f t="shared" si="21"/>
        <v>Green Gram/ Moong</v>
      </c>
      <c r="B200" s="69"/>
      <c r="C200" s="159">
        <v>80</v>
      </c>
      <c r="D200" s="70">
        <f t="shared" si="22"/>
        <v>0</v>
      </c>
      <c r="E200" s="70">
        <f t="shared" si="22"/>
        <v>0</v>
      </c>
      <c r="F200" s="70">
        <f t="shared" si="22"/>
        <v>0</v>
      </c>
      <c r="G200" s="70">
        <f t="shared" si="22"/>
        <v>0</v>
      </c>
      <c r="H200" s="70">
        <f t="shared" si="22"/>
        <v>0</v>
      </c>
      <c r="I200" s="70">
        <f t="shared" si="22"/>
        <v>0</v>
      </c>
      <c r="J200" s="70">
        <f t="shared" si="22"/>
        <v>0</v>
      </c>
      <c r="K200" s="68"/>
      <c r="L200" s="68"/>
      <c r="M200" s="68"/>
      <c r="N200" s="68"/>
      <c r="O200" s="68"/>
      <c r="P200" s="68"/>
      <c r="Q200" s="68"/>
      <c r="R200" s="68"/>
      <c r="S200" s="68"/>
      <c r="T200" s="68"/>
      <c r="U200" s="68"/>
      <c r="V200" s="68"/>
      <c r="W200" s="68"/>
    </row>
    <row r="201" spans="1:23">
      <c r="A201" s="69" t="str">
        <f t="shared" si="21"/>
        <v>Maize</v>
      </c>
      <c r="B201" s="69"/>
      <c r="C201" s="159">
        <v>25</v>
      </c>
      <c r="D201" s="70">
        <f t="shared" si="22"/>
        <v>0</v>
      </c>
      <c r="E201" s="70">
        <f t="shared" si="22"/>
        <v>0</v>
      </c>
      <c r="F201" s="70">
        <f t="shared" si="22"/>
        <v>0</v>
      </c>
      <c r="G201" s="70">
        <f t="shared" si="22"/>
        <v>0</v>
      </c>
      <c r="H201" s="70">
        <f t="shared" si="22"/>
        <v>0</v>
      </c>
      <c r="I201" s="70">
        <f t="shared" si="22"/>
        <v>0</v>
      </c>
      <c r="J201" s="70">
        <f t="shared" si="22"/>
        <v>0</v>
      </c>
      <c r="K201" s="68"/>
      <c r="L201" s="68"/>
      <c r="M201" s="68"/>
      <c r="N201" s="68"/>
      <c r="O201" s="68"/>
      <c r="P201" s="68"/>
      <c r="Q201" s="68"/>
      <c r="R201" s="68"/>
      <c r="S201" s="68"/>
      <c r="T201" s="68"/>
      <c r="U201" s="68"/>
      <c r="V201" s="68"/>
      <c r="W201" s="68"/>
    </row>
    <row r="202" spans="1:23">
      <c r="A202" s="69" t="str">
        <f t="shared" si="21"/>
        <v>Black Gram/Udid</v>
      </c>
      <c r="B202" s="69"/>
      <c r="C202" s="159">
        <v>70</v>
      </c>
      <c r="D202" s="70">
        <f t="shared" si="22"/>
        <v>0</v>
      </c>
      <c r="E202" s="70">
        <f t="shared" si="22"/>
        <v>0</v>
      </c>
      <c r="F202" s="70">
        <f t="shared" si="22"/>
        <v>0</v>
      </c>
      <c r="G202" s="70">
        <f t="shared" si="22"/>
        <v>0</v>
      </c>
      <c r="H202" s="70">
        <f t="shared" si="22"/>
        <v>0</v>
      </c>
      <c r="I202" s="70">
        <f t="shared" si="22"/>
        <v>0</v>
      </c>
      <c r="J202" s="70">
        <f t="shared" si="22"/>
        <v>0</v>
      </c>
      <c r="K202" s="68"/>
      <c r="L202" s="68"/>
      <c r="M202" s="68"/>
      <c r="N202" s="68"/>
      <c r="O202" s="68"/>
      <c r="P202" s="68"/>
      <c r="Q202" s="68"/>
      <c r="R202" s="68"/>
      <c r="S202" s="68"/>
      <c r="T202" s="68"/>
      <c r="U202" s="68"/>
      <c r="V202" s="68"/>
      <c r="W202" s="68"/>
    </row>
    <row r="203" spans="1:23">
      <c r="A203" s="69" t="str">
        <f t="shared" si="21"/>
        <v>Bajra</v>
      </c>
      <c r="B203" s="69"/>
      <c r="C203" s="159">
        <v>25</v>
      </c>
      <c r="D203" s="70">
        <f t="shared" si="22"/>
        <v>0</v>
      </c>
      <c r="E203" s="70">
        <f t="shared" si="22"/>
        <v>0</v>
      </c>
      <c r="F203" s="70">
        <f t="shared" si="22"/>
        <v>0</v>
      </c>
      <c r="G203" s="70">
        <f t="shared" si="22"/>
        <v>0</v>
      </c>
      <c r="H203" s="70">
        <f t="shared" si="22"/>
        <v>0</v>
      </c>
      <c r="I203" s="70">
        <f t="shared" si="22"/>
        <v>0</v>
      </c>
      <c r="J203" s="70">
        <f t="shared" si="22"/>
        <v>0</v>
      </c>
      <c r="K203" s="68"/>
      <c r="L203" s="68"/>
      <c r="M203" s="68"/>
      <c r="N203" s="68"/>
      <c r="O203" s="68"/>
      <c r="P203" s="68"/>
      <c r="Q203" s="68"/>
      <c r="R203" s="68"/>
      <c r="S203" s="68"/>
      <c r="T203" s="68"/>
      <c r="U203" s="68"/>
      <c r="V203" s="68"/>
      <c r="W203" s="68"/>
    </row>
    <row r="204" spans="1:23" hidden="1">
      <c r="A204" s="69" t="str">
        <f t="shared" si="21"/>
        <v>Jawar</v>
      </c>
      <c r="B204" s="69"/>
      <c r="C204" s="159">
        <v>25</v>
      </c>
      <c r="D204" s="70">
        <f t="shared" si="22"/>
        <v>0</v>
      </c>
      <c r="E204" s="70">
        <f t="shared" si="22"/>
        <v>0</v>
      </c>
      <c r="F204" s="70">
        <f t="shared" si="22"/>
        <v>0</v>
      </c>
      <c r="G204" s="70">
        <f t="shared" si="22"/>
        <v>0</v>
      </c>
      <c r="H204" s="70">
        <f t="shared" si="22"/>
        <v>0</v>
      </c>
      <c r="I204" s="70">
        <f t="shared" si="22"/>
        <v>0</v>
      </c>
      <c r="J204" s="70">
        <f t="shared" si="22"/>
        <v>0</v>
      </c>
      <c r="K204" s="68"/>
      <c r="L204" s="68"/>
      <c r="M204" s="68"/>
      <c r="N204" s="68"/>
      <c r="O204" s="68"/>
      <c r="P204" s="68"/>
      <c r="Q204" s="68"/>
      <c r="R204" s="68"/>
      <c r="S204" s="68"/>
      <c r="T204" s="68"/>
      <c r="U204" s="68"/>
      <c r="V204" s="68"/>
      <c r="W204" s="68"/>
    </row>
    <row r="205" spans="1:23">
      <c r="A205" s="71" t="str">
        <f t="shared" si="21"/>
        <v>Rabi Crop</v>
      </c>
      <c r="B205" s="69"/>
      <c r="C205" s="159"/>
      <c r="D205" s="70">
        <f t="shared" si="22"/>
        <v>0</v>
      </c>
      <c r="E205" s="70">
        <f t="shared" si="22"/>
        <v>0</v>
      </c>
      <c r="F205" s="70">
        <f t="shared" si="22"/>
        <v>0</v>
      </c>
      <c r="G205" s="70">
        <f t="shared" si="22"/>
        <v>0</v>
      </c>
      <c r="H205" s="70">
        <f t="shared" si="22"/>
        <v>0</v>
      </c>
      <c r="I205" s="70">
        <f t="shared" si="22"/>
        <v>0</v>
      </c>
      <c r="J205" s="70">
        <f t="shared" si="22"/>
        <v>0</v>
      </c>
      <c r="K205" s="68"/>
      <c r="L205" s="68"/>
      <c r="M205" s="68"/>
      <c r="N205" s="68"/>
      <c r="O205" s="68"/>
      <c r="P205" s="68"/>
      <c r="Q205" s="68"/>
      <c r="R205" s="68"/>
      <c r="S205" s="68"/>
      <c r="T205" s="68"/>
      <c r="U205" s="68"/>
      <c r="V205" s="68"/>
      <c r="W205" s="68"/>
    </row>
    <row r="206" spans="1:23">
      <c r="A206" s="69" t="str">
        <f t="shared" si="21"/>
        <v>Wheat</v>
      </c>
      <c r="B206" s="69"/>
      <c r="C206" s="159">
        <v>35</v>
      </c>
      <c r="D206" s="70">
        <f t="shared" si="22"/>
        <v>0</v>
      </c>
      <c r="E206" s="70">
        <f t="shared" si="22"/>
        <v>0</v>
      </c>
      <c r="F206" s="70">
        <f t="shared" si="22"/>
        <v>0</v>
      </c>
      <c r="G206" s="70">
        <f t="shared" si="22"/>
        <v>0</v>
      </c>
      <c r="H206" s="70">
        <f t="shared" si="22"/>
        <v>0</v>
      </c>
      <c r="I206" s="70">
        <f t="shared" si="22"/>
        <v>0</v>
      </c>
      <c r="J206" s="70">
        <f t="shared" si="22"/>
        <v>0</v>
      </c>
      <c r="K206" s="68"/>
      <c r="L206" s="68"/>
      <c r="M206" s="68"/>
      <c r="N206" s="68"/>
      <c r="O206" s="68"/>
      <c r="P206" s="68"/>
      <c r="Q206" s="68"/>
      <c r="R206" s="68"/>
      <c r="S206" s="68"/>
      <c r="T206" s="68"/>
      <c r="U206" s="68"/>
      <c r="V206" s="68"/>
      <c r="W206" s="68"/>
    </row>
    <row r="207" spans="1:23">
      <c r="A207" s="69" t="str">
        <f t="shared" si="21"/>
        <v>Bengal Gram/Channa</v>
      </c>
      <c r="B207" s="69"/>
      <c r="C207" s="159">
        <v>70</v>
      </c>
      <c r="D207" s="70">
        <f t="shared" ref="D207:J216" si="23">D72*$C207*D$124</f>
        <v>0</v>
      </c>
      <c r="E207" s="70">
        <f t="shared" si="23"/>
        <v>0</v>
      </c>
      <c r="F207" s="70">
        <f t="shared" si="23"/>
        <v>0</v>
      </c>
      <c r="G207" s="70">
        <f t="shared" si="23"/>
        <v>0</v>
      </c>
      <c r="H207" s="70">
        <f t="shared" si="23"/>
        <v>0</v>
      </c>
      <c r="I207" s="70">
        <f t="shared" si="23"/>
        <v>0</v>
      </c>
      <c r="J207" s="70">
        <f t="shared" si="23"/>
        <v>0</v>
      </c>
      <c r="K207" s="68"/>
      <c r="L207" s="68"/>
      <c r="M207" s="68"/>
      <c r="N207" s="68"/>
      <c r="O207" s="68"/>
      <c r="P207" s="68"/>
      <c r="Q207" s="68"/>
      <c r="R207" s="68"/>
      <c r="S207" s="68"/>
      <c r="T207" s="68"/>
      <c r="U207" s="68"/>
      <c r="V207" s="68"/>
      <c r="W207" s="68"/>
    </row>
    <row r="208" spans="1:23">
      <c r="A208" s="69" t="str">
        <f t="shared" si="21"/>
        <v>Jawar</v>
      </c>
      <c r="B208" s="69"/>
      <c r="C208" s="159">
        <v>25</v>
      </c>
      <c r="D208" s="70">
        <f t="shared" si="23"/>
        <v>0</v>
      </c>
      <c r="E208" s="70">
        <f t="shared" si="23"/>
        <v>0</v>
      </c>
      <c r="F208" s="70">
        <f t="shared" si="23"/>
        <v>0</v>
      </c>
      <c r="G208" s="70">
        <f t="shared" si="23"/>
        <v>0</v>
      </c>
      <c r="H208" s="70">
        <f t="shared" si="23"/>
        <v>0</v>
      </c>
      <c r="I208" s="70">
        <f t="shared" si="23"/>
        <v>0</v>
      </c>
      <c r="J208" s="70">
        <f t="shared" si="23"/>
        <v>0</v>
      </c>
      <c r="K208" s="68"/>
      <c r="L208" s="68"/>
      <c r="M208" s="68"/>
      <c r="N208" s="68"/>
      <c r="O208" s="68"/>
      <c r="P208" s="68"/>
      <c r="Q208" s="68"/>
      <c r="R208" s="68"/>
      <c r="S208" s="68"/>
      <c r="T208" s="68"/>
      <c r="U208" s="68"/>
      <c r="V208" s="68"/>
      <c r="W208" s="68"/>
    </row>
    <row r="209" spans="1:23" hidden="1">
      <c r="A209" s="69" t="str">
        <f t="shared" si="21"/>
        <v>Maize</v>
      </c>
      <c r="B209" s="69"/>
      <c r="C209" s="159">
        <v>25</v>
      </c>
      <c r="D209" s="70">
        <f t="shared" si="23"/>
        <v>0</v>
      </c>
      <c r="E209" s="70">
        <f t="shared" si="23"/>
        <v>0</v>
      </c>
      <c r="F209" s="70">
        <f t="shared" si="23"/>
        <v>0</v>
      </c>
      <c r="G209" s="70">
        <f t="shared" si="23"/>
        <v>0</v>
      </c>
      <c r="H209" s="70">
        <f t="shared" si="23"/>
        <v>0</v>
      </c>
      <c r="I209" s="70">
        <f t="shared" si="23"/>
        <v>0</v>
      </c>
      <c r="J209" s="70">
        <f t="shared" si="23"/>
        <v>0</v>
      </c>
      <c r="K209" s="68"/>
      <c r="L209" s="68"/>
      <c r="M209" s="68"/>
      <c r="N209" s="68"/>
      <c r="O209" s="68"/>
      <c r="P209" s="68"/>
      <c r="Q209" s="68"/>
      <c r="R209" s="68"/>
      <c r="S209" s="68"/>
      <c r="T209" s="68"/>
      <c r="U209" s="68"/>
      <c r="V209" s="68"/>
      <c r="W209" s="68"/>
    </row>
    <row r="210" spans="1:23" hidden="1">
      <c r="A210" s="69" t="str">
        <f t="shared" si="21"/>
        <v>Safflower</v>
      </c>
      <c r="B210" s="69"/>
      <c r="C210" s="159">
        <v>0</v>
      </c>
      <c r="D210" s="70">
        <f t="shared" si="23"/>
        <v>0</v>
      </c>
      <c r="E210" s="70">
        <f t="shared" si="23"/>
        <v>0</v>
      </c>
      <c r="F210" s="70">
        <f t="shared" si="23"/>
        <v>0</v>
      </c>
      <c r="G210" s="70">
        <f t="shared" si="23"/>
        <v>0</v>
      </c>
      <c r="H210" s="70">
        <f t="shared" si="23"/>
        <v>0</v>
      </c>
      <c r="I210" s="70">
        <f t="shared" si="23"/>
        <v>0</v>
      </c>
      <c r="J210" s="70">
        <f t="shared" si="23"/>
        <v>0</v>
      </c>
      <c r="K210" s="68"/>
      <c r="L210" s="68"/>
      <c r="M210" s="68"/>
      <c r="N210" s="68"/>
      <c r="O210" s="68"/>
      <c r="P210" s="68"/>
      <c r="Q210" s="68"/>
      <c r="R210" s="68"/>
      <c r="S210" s="68"/>
      <c r="T210" s="68"/>
      <c r="U210" s="68"/>
      <c r="V210" s="68"/>
      <c r="W210" s="68"/>
    </row>
    <row r="211" spans="1:23" hidden="1">
      <c r="A211" s="69">
        <f t="shared" si="21"/>
        <v>0</v>
      </c>
      <c r="B211" s="69"/>
      <c r="C211" s="159"/>
      <c r="D211" s="70">
        <f t="shared" si="23"/>
        <v>0</v>
      </c>
      <c r="E211" s="70">
        <f t="shared" si="23"/>
        <v>0</v>
      </c>
      <c r="F211" s="70">
        <f t="shared" si="23"/>
        <v>0</v>
      </c>
      <c r="G211" s="70">
        <f t="shared" si="23"/>
        <v>0</v>
      </c>
      <c r="H211" s="70">
        <f t="shared" si="23"/>
        <v>0</v>
      </c>
      <c r="I211" s="70">
        <f t="shared" si="23"/>
        <v>0</v>
      </c>
      <c r="J211" s="70">
        <f t="shared" si="23"/>
        <v>0</v>
      </c>
      <c r="K211" s="68"/>
      <c r="L211" s="68"/>
      <c r="M211" s="68"/>
      <c r="N211" s="68"/>
      <c r="O211" s="68"/>
      <c r="P211" s="68"/>
      <c r="Q211" s="68"/>
      <c r="R211" s="68"/>
      <c r="S211" s="68"/>
      <c r="T211" s="68"/>
      <c r="U211" s="68"/>
      <c r="V211" s="68"/>
      <c r="W211" s="68"/>
    </row>
    <row r="212" spans="1:23" hidden="1">
      <c r="A212" s="69">
        <f t="shared" si="21"/>
        <v>0</v>
      </c>
      <c r="B212" s="69"/>
      <c r="C212" s="159"/>
      <c r="D212" s="70">
        <f t="shared" si="23"/>
        <v>0</v>
      </c>
      <c r="E212" s="70">
        <f t="shared" si="23"/>
        <v>0</v>
      </c>
      <c r="F212" s="70">
        <f t="shared" si="23"/>
        <v>0</v>
      </c>
      <c r="G212" s="70">
        <f t="shared" si="23"/>
        <v>0</v>
      </c>
      <c r="H212" s="70">
        <f t="shared" si="23"/>
        <v>0</v>
      </c>
      <c r="I212" s="70">
        <f t="shared" si="23"/>
        <v>0</v>
      </c>
      <c r="J212" s="70">
        <f t="shared" si="23"/>
        <v>0</v>
      </c>
      <c r="K212" s="68"/>
      <c r="L212" s="68"/>
      <c r="M212" s="68"/>
      <c r="N212" s="68"/>
      <c r="O212" s="68"/>
      <c r="P212" s="68"/>
      <c r="Q212" s="68"/>
      <c r="R212" s="68"/>
      <c r="S212" s="68"/>
      <c r="T212" s="68"/>
      <c r="U212" s="68"/>
      <c r="V212" s="68"/>
      <c r="W212" s="68"/>
    </row>
    <row r="213" spans="1:23" ht="7.5" customHeight="1">
      <c r="A213" s="69">
        <f t="shared" si="21"/>
        <v>0</v>
      </c>
      <c r="B213" s="69"/>
      <c r="C213" s="159"/>
      <c r="D213" s="70">
        <f t="shared" si="23"/>
        <v>0</v>
      </c>
      <c r="E213" s="70">
        <f t="shared" si="23"/>
        <v>0</v>
      </c>
      <c r="F213" s="70">
        <f t="shared" si="23"/>
        <v>0</v>
      </c>
      <c r="G213" s="70">
        <f t="shared" si="23"/>
        <v>0</v>
      </c>
      <c r="H213" s="70">
        <f t="shared" si="23"/>
        <v>0</v>
      </c>
      <c r="I213" s="70">
        <f t="shared" si="23"/>
        <v>0</v>
      </c>
      <c r="J213" s="70">
        <f t="shared" si="23"/>
        <v>0</v>
      </c>
      <c r="K213" s="68"/>
      <c r="L213" s="68"/>
      <c r="M213" s="68"/>
      <c r="N213" s="68"/>
      <c r="O213" s="68"/>
      <c r="P213" s="68"/>
      <c r="Q213" s="68"/>
      <c r="R213" s="68"/>
      <c r="S213" s="68"/>
      <c r="T213" s="68"/>
      <c r="U213" s="68"/>
      <c r="V213" s="68"/>
      <c r="W213" s="68"/>
    </row>
    <row r="214" spans="1:23" hidden="1">
      <c r="A214" s="69" t="str">
        <f t="shared" si="21"/>
        <v>Summer</v>
      </c>
      <c r="B214" s="69"/>
      <c r="C214" s="159"/>
      <c r="D214" s="70">
        <f t="shared" si="23"/>
        <v>0</v>
      </c>
      <c r="E214" s="70">
        <f t="shared" si="23"/>
        <v>0</v>
      </c>
      <c r="F214" s="70">
        <f t="shared" si="23"/>
        <v>0</v>
      </c>
      <c r="G214" s="70">
        <f t="shared" si="23"/>
        <v>0</v>
      </c>
      <c r="H214" s="70">
        <f t="shared" si="23"/>
        <v>0</v>
      </c>
      <c r="I214" s="70">
        <f t="shared" si="23"/>
        <v>0</v>
      </c>
      <c r="J214" s="70">
        <f t="shared" si="23"/>
        <v>0</v>
      </c>
      <c r="K214" s="68"/>
      <c r="L214" s="68"/>
      <c r="M214" s="68"/>
      <c r="N214" s="68"/>
      <c r="O214" s="68"/>
      <c r="P214" s="68"/>
      <c r="Q214" s="68"/>
      <c r="R214" s="68"/>
      <c r="S214" s="68"/>
      <c r="T214" s="68"/>
      <c r="U214" s="68"/>
      <c r="V214" s="68"/>
      <c r="W214" s="68"/>
    </row>
    <row r="215" spans="1:23" hidden="1">
      <c r="A215" s="69" t="str">
        <f t="shared" si="21"/>
        <v>Groundnut</v>
      </c>
      <c r="B215" s="69"/>
      <c r="C215" s="159"/>
      <c r="D215" s="70">
        <f t="shared" si="23"/>
        <v>0</v>
      </c>
      <c r="E215" s="70">
        <f t="shared" si="23"/>
        <v>0</v>
      </c>
      <c r="F215" s="70">
        <f t="shared" si="23"/>
        <v>0</v>
      </c>
      <c r="G215" s="70">
        <f t="shared" si="23"/>
        <v>0</v>
      </c>
      <c r="H215" s="70">
        <f t="shared" si="23"/>
        <v>0</v>
      </c>
      <c r="I215" s="70">
        <f t="shared" si="23"/>
        <v>0</v>
      </c>
      <c r="J215" s="70">
        <f t="shared" si="23"/>
        <v>0</v>
      </c>
      <c r="K215" s="68"/>
      <c r="L215" s="68"/>
      <c r="M215" s="68"/>
      <c r="N215" s="68"/>
      <c r="O215" s="68"/>
      <c r="P215" s="68"/>
      <c r="Q215" s="68"/>
      <c r="R215" s="68"/>
      <c r="S215" s="68"/>
      <c r="T215" s="68"/>
      <c r="U215" s="68"/>
      <c r="V215" s="68"/>
      <c r="W215" s="68"/>
    </row>
    <row r="216" spans="1:23" hidden="1">
      <c r="A216" s="69">
        <f t="shared" si="21"/>
        <v>0</v>
      </c>
      <c r="B216" s="69"/>
      <c r="C216" s="159"/>
      <c r="D216" s="70">
        <f t="shared" si="23"/>
        <v>0</v>
      </c>
      <c r="E216" s="70">
        <f t="shared" si="23"/>
        <v>0</v>
      </c>
      <c r="F216" s="70">
        <f t="shared" si="23"/>
        <v>0</v>
      </c>
      <c r="G216" s="70">
        <f t="shared" si="23"/>
        <v>0</v>
      </c>
      <c r="H216" s="70">
        <f t="shared" si="23"/>
        <v>0</v>
      </c>
      <c r="I216" s="70">
        <f t="shared" si="23"/>
        <v>0</v>
      </c>
      <c r="J216" s="70">
        <f t="shared" si="23"/>
        <v>0</v>
      </c>
      <c r="K216" s="68"/>
      <c r="L216" s="68"/>
      <c r="M216" s="68"/>
      <c r="N216" s="68"/>
      <c r="O216" s="68"/>
      <c r="P216" s="68"/>
      <c r="Q216" s="68"/>
      <c r="R216" s="68"/>
      <c r="S216" s="68"/>
      <c r="T216" s="68"/>
      <c r="U216" s="68"/>
      <c r="V216" s="68"/>
      <c r="W216" s="68"/>
    </row>
    <row r="217" spans="1:23" hidden="1">
      <c r="A217" s="69">
        <f t="shared" si="21"/>
        <v>0</v>
      </c>
      <c r="B217" s="69"/>
      <c r="C217" s="159"/>
      <c r="D217" s="70">
        <f t="shared" ref="D217:J219" si="24">D82*$C217*D$124</f>
        <v>0</v>
      </c>
      <c r="E217" s="70">
        <f t="shared" si="24"/>
        <v>0</v>
      </c>
      <c r="F217" s="70">
        <f t="shared" si="24"/>
        <v>0</v>
      </c>
      <c r="G217" s="70">
        <f t="shared" si="24"/>
        <v>0</v>
      </c>
      <c r="H217" s="70">
        <f t="shared" si="24"/>
        <v>0</v>
      </c>
      <c r="I217" s="70">
        <f t="shared" si="24"/>
        <v>0</v>
      </c>
      <c r="J217" s="70">
        <f t="shared" si="24"/>
        <v>0</v>
      </c>
      <c r="K217" s="68"/>
      <c r="L217" s="68"/>
      <c r="M217" s="68"/>
      <c r="N217" s="68"/>
      <c r="O217" s="68"/>
      <c r="P217" s="68"/>
      <c r="Q217" s="68"/>
      <c r="R217" s="68"/>
      <c r="S217" s="68"/>
      <c r="T217" s="68"/>
      <c r="U217" s="68"/>
      <c r="V217" s="68"/>
      <c r="W217" s="68"/>
    </row>
    <row r="218" spans="1:23" hidden="1">
      <c r="A218" s="69">
        <f t="shared" si="21"/>
        <v>0</v>
      </c>
      <c r="B218" s="69"/>
      <c r="C218" s="159"/>
      <c r="D218" s="70">
        <f t="shared" si="24"/>
        <v>0</v>
      </c>
      <c r="E218" s="70">
        <f t="shared" si="24"/>
        <v>0</v>
      </c>
      <c r="F218" s="70">
        <f t="shared" si="24"/>
        <v>0</v>
      </c>
      <c r="G218" s="70">
        <f t="shared" si="24"/>
        <v>0</v>
      </c>
      <c r="H218" s="70">
        <f t="shared" si="24"/>
        <v>0</v>
      </c>
      <c r="I218" s="70">
        <f t="shared" si="24"/>
        <v>0</v>
      </c>
      <c r="J218" s="70">
        <f t="shared" si="24"/>
        <v>0</v>
      </c>
      <c r="K218" s="68"/>
      <c r="L218" s="68"/>
      <c r="M218" s="68"/>
      <c r="N218" s="68"/>
      <c r="O218" s="68"/>
      <c r="P218" s="68"/>
      <c r="Q218" s="68"/>
      <c r="R218" s="68"/>
      <c r="S218" s="68"/>
      <c r="T218" s="68"/>
      <c r="U218" s="68"/>
      <c r="V218" s="68"/>
      <c r="W218" s="68"/>
    </row>
    <row r="219" spans="1:23" hidden="1">
      <c r="A219" s="69">
        <f t="shared" si="21"/>
        <v>0</v>
      </c>
      <c r="B219" s="69"/>
      <c r="C219" s="159"/>
      <c r="D219" s="70">
        <f t="shared" si="24"/>
        <v>0</v>
      </c>
      <c r="E219" s="70">
        <f t="shared" si="24"/>
        <v>0</v>
      </c>
      <c r="F219" s="70">
        <f t="shared" si="24"/>
        <v>0</v>
      </c>
      <c r="G219" s="70">
        <f t="shared" si="24"/>
        <v>0</v>
      </c>
      <c r="H219" s="70">
        <f t="shared" si="24"/>
        <v>0</v>
      </c>
      <c r="I219" s="70">
        <f t="shared" si="24"/>
        <v>0</v>
      </c>
      <c r="J219" s="70">
        <f t="shared" si="24"/>
        <v>0</v>
      </c>
      <c r="K219" s="68"/>
      <c r="L219" s="68"/>
      <c r="M219" s="68"/>
      <c r="N219" s="68"/>
      <c r="O219" s="68"/>
      <c r="P219" s="68"/>
      <c r="Q219" s="68"/>
      <c r="R219" s="68"/>
      <c r="S219" s="68"/>
      <c r="T219" s="68"/>
      <c r="U219" s="68"/>
      <c r="V219" s="68"/>
      <c r="W219" s="68"/>
    </row>
    <row r="220" spans="1:23" hidden="1">
      <c r="A220" s="69" t="str">
        <f t="shared" si="21"/>
        <v>Fruit  &amp; Vegetables Crop Production Details</v>
      </c>
      <c r="B220" s="69"/>
      <c r="C220" s="159"/>
      <c r="D220" s="70"/>
      <c r="E220" s="70"/>
      <c r="F220" s="70"/>
      <c r="G220" s="70"/>
      <c r="H220" s="70"/>
      <c r="I220" s="70"/>
      <c r="J220" s="70"/>
      <c r="K220" s="68"/>
      <c r="L220" s="68"/>
      <c r="M220" s="68"/>
      <c r="N220" s="68"/>
      <c r="O220" s="68"/>
      <c r="P220" s="68"/>
      <c r="Q220" s="68"/>
      <c r="R220" s="68"/>
      <c r="S220" s="68"/>
      <c r="T220" s="68"/>
      <c r="U220" s="68"/>
      <c r="V220" s="68"/>
      <c r="W220" s="68"/>
    </row>
    <row r="221" spans="1:23" hidden="1">
      <c r="A221" s="69" t="str">
        <f t="shared" si="21"/>
        <v>Exotic Vegitables</v>
      </c>
      <c r="B221" s="69"/>
      <c r="C221" s="159"/>
      <c r="D221" s="70">
        <f t="shared" ref="D221:J230" si="25">D86*$C221*D$124</f>
        <v>0</v>
      </c>
      <c r="E221" s="70">
        <f t="shared" si="25"/>
        <v>0</v>
      </c>
      <c r="F221" s="70">
        <f t="shared" si="25"/>
        <v>0</v>
      </c>
      <c r="G221" s="70">
        <f t="shared" si="25"/>
        <v>0</v>
      </c>
      <c r="H221" s="70">
        <f t="shared" si="25"/>
        <v>0</v>
      </c>
      <c r="I221" s="70">
        <f t="shared" si="25"/>
        <v>0</v>
      </c>
      <c r="J221" s="70">
        <f t="shared" si="25"/>
        <v>0</v>
      </c>
      <c r="K221" s="68"/>
      <c r="L221" s="68"/>
      <c r="M221" s="68"/>
      <c r="N221" s="68"/>
      <c r="O221" s="68"/>
      <c r="P221" s="68"/>
      <c r="Q221" s="68"/>
      <c r="R221" s="68"/>
      <c r="S221" s="68"/>
      <c r="T221" s="68"/>
      <c r="U221" s="68"/>
      <c r="V221" s="68"/>
      <c r="W221" s="68"/>
    </row>
    <row r="222" spans="1:23" hidden="1">
      <c r="A222" s="69" t="str">
        <f t="shared" si="21"/>
        <v>Tomato</v>
      </c>
      <c r="B222" s="69"/>
      <c r="C222" s="159"/>
      <c r="D222" s="70">
        <f t="shared" si="25"/>
        <v>0</v>
      </c>
      <c r="E222" s="70">
        <f t="shared" si="25"/>
        <v>0</v>
      </c>
      <c r="F222" s="70">
        <f t="shared" si="25"/>
        <v>0</v>
      </c>
      <c r="G222" s="70">
        <f t="shared" si="25"/>
        <v>0</v>
      </c>
      <c r="H222" s="70">
        <f t="shared" si="25"/>
        <v>0</v>
      </c>
      <c r="I222" s="70">
        <f t="shared" si="25"/>
        <v>0</v>
      </c>
      <c r="J222" s="70">
        <f t="shared" si="25"/>
        <v>0</v>
      </c>
      <c r="K222" s="68"/>
      <c r="L222" s="68"/>
      <c r="M222" s="68"/>
      <c r="N222" s="68"/>
      <c r="O222" s="68"/>
      <c r="P222" s="68"/>
      <c r="Q222" s="68"/>
      <c r="R222" s="68"/>
      <c r="S222" s="68"/>
      <c r="T222" s="68"/>
      <c r="U222" s="68"/>
      <c r="V222" s="68"/>
      <c r="W222" s="68"/>
    </row>
    <row r="223" spans="1:23" hidden="1">
      <c r="A223" s="69" t="str">
        <f t="shared" si="21"/>
        <v>Okra</v>
      </c>
      <c r="B223" s="69"/>
      <c r="C223" s="159"/>
      <c r="D223" s="70">
        <f t="shared" si="25"/>
        <v>0</v>
      </c>
      <c r="E223" s="70">
        <f t="shared" si="25"/>
        <v>0</v>
      </c>
      <c r="F223" s="70">
        <f t="shared" si="25"/>
        <v>0</v>
      </c>
      <c r="G223" s="70">
        <f t="shared" si="25"/>
        <v>0</v>
      </c>
      <c r="H223" s="70">
        <f t="shared" si="25"/>
        <v>0</v>
      </c>
      <c r="I223" s="70">
        <f t="shared" si="25"/>
        <v>0</v>
      </c>
      <c r="J223" s="70">
        <f t="shared" si="25"/>
        <v>0</v>
      </c>
      <c r="K223" s="68"/>
      <c r="L223" s="68"/>
      <c r="M223" s="68"/>
      <c r="N223" s="68"/>
      <c r="O223" s="68"/>
      <c r="P223" s="68"/>
      <c r="Q223" s="68"/>
      <c r="R223" s="68"/>
      <c r="S223" s="68"/>
      <c r="T223" s="68"/>
      <c r="U223" s="68"/>
      <c r="V223" s="68"/>
      <c r="W223" s="68"/>
    </row>
    <row r="224" spans="1:23" hidden="1">
      <c r="A224" s="69" t="str">
        <f t="shared" si="21"/>
        <v>Chilli</v>
      </c>
      <c r="B224" s="69"/>
      <c r="C224" s="159"/>
      <c r="D224" s="70">
        <f t="shared" si="25"/>
        <v>0</v>
      </c>
      <c r="E224" s="70">
        <f t="shared" si="25"/>
        <v>0</v>
      </c>
      <c r="F224" s="70">
        <f t="shared" si="25"/>
        <v>0</v>
      </c>
      <c r="G224" s="70">
        <f t="shared" si="25"/>
        <v>0</v>
      </c>
      <c r="H224" s="70">
        <f t="shared" si="25"/>
        <v>0</v>
      </c>
      <c r="I224" s="70">
        <f t="shared" si="25"/>
        <v>0</v>
      </c>
      <c r="J224" s="70">
        <f t="shared" si="25"/>
        <v>0</v>
      </c>
      <c r="K224" s="68"/>
      <c r="L224" s="68"/>
      <c r="M224" s="68"/>
      <c r="N224" s="68"/>
      <c r="O224" s="68"/>
      <c r="P224" s="68"/>
      <c r="Q224" s="68"/>
      <c r="R224" s="68"/>
      <c r="S224" s="68"/>
      <c r="T224" s="68"/>
      <c r="U224" s="68"/>
      <c r="V224" s="68"/>
      <c r="W224" s="68"/>
    </row>
    <row r="225" spans="1:23" hidden="1">
      <c r="A225" s="69" t="str">
        <f t="shared" si="21"/>
        <v>Potato</v>
      </c>
      <c r="B225" s="69"/>
      <c r="C225" s="159"/>
      <c r="D225" s="70">
        <f t="shared" si="25"/>
        <v>0</v>
      </c>
      <c r="E225" s="70">
        <f t="shared" si="25"/>
        <v>0</v>
      </c>
      <c r="F225" s="70">
        <f t="shared" si="25"/>
        <v>0</v>
      </c>
      <c r="G225" s="70">
        <f t="shared" si="25"/>
        <v>0</v>
      </c>
      <c r="H225" s="70">
        <f t="shared" si="25"/>
        <v>0</v>
      </c>
      <c r="I225" s="70">
        <f t="shared" si="25"/>
        <v>0</v>
      </c>
      <c r="J225" s="70">
        <f t="shared" si="25"/>
        <v>0</v>
      </c>
      <c r="K225" s="68"/>
      <c r="L225" s="68"/>
      <c r="M225" s="68"/>
      <c r="N225" s="68"/>
      <c r="O225" s="68"/>
      <c r="P225" s="68"/>
      <c r="Q225" s="68"/>
      <c r="R225" s="68"/>
      <c r="S225" s="68"/>
      <c r="T225" s="68"/>
      <c r="U225" s="68"/>
      <c r="V225" s="68"/>
      <c r="W225" s="68"/>
    </row>
    <row r="226" spans="1:23" hidden="1">
      <c r="A226" s="69" t="str">
        <f t="shared" si="21"/>
        <v>Cabbage</v>
      </c>
      <c r="B226" s="69"/>
      <c r="C226" s="159"/>
      <c r="D226" s="70">
        <f t="shared" si="25"/>
        <v>0</v>
      </c>
      <c r="E226" s="70">
        <f t="shared" si="25"/>
        <v>0</v>
      </c>
      <c r="F226" s="70">
        <f t="shared" si="25"/>
        <v>0</v>
      </c>
      <c r="G226" s="70">
        <f t="shared" si="25"/>
        <v>0</v>
      </c>
      <c r="H226" s="70">
        <f t="shared" si="25"/>
        <v>0</v>
      </c>
      <c r="I226" s="70">
        <f t="shared" si="25"/>
        <v>0</v>
      </c>
      <c r="J226" s="70">
        <f t="shared" si="25"/>
        <v>0</v>
      </c>
      <c r="K226" s="68"/>
      <c r="L226" s="68"/>
      <c r="M226" s="68"/>
      <c r="N226" s="68"/>
      <c r="O226" s="68"/>
      <c r="P226" s="68"/>
      <c r="Q226" s="68"/>
      <c r="R226" s="68"/>
      <c r="S226" s="68"/>
      <c r="T226" s="68"/>
      <c r="U226" s="68"/>
      <c r="V226" s="68"/>
      <c r="W226" s="68"/>
    </row>
    <row r="227" spans="1:23" hidden="1">
      <c r="A227" s="69" t="str">
        <f t="shared" si="21"/>
        <v>Coliflower</v>
      </c>
      <c r="B227" s="69"/>
      <c r="C227" s="159"/>
      <c r="D227" s="70">
        <f t="shared" si="25"/>
        <v>0</v>
      </c>
      <c r="E227" s="70">
        <f t="shared" si="25"/>
        <v>0</v>
      </c>
      <c r="F227" s="70">
        <f t="shared" si="25"/>
        <v>0</v>
      </c>
      <c r="G227" s="70">
        <f t="shared" si="25"/>
        <v>0</v>
      </c>
      <c r="H227" s="70">
        <f t="shared" si="25"/>
        <v>0</v>
      </c>
      <c r="I227" s="70">
        <f t="shared" si="25"/>
        <v>0</v>
      </c>
      <c r="J227" s="70">
        <f t="shared" si="25"/>
        <v>0</v>
      </c>
      <c r="K227" s="68"/>
      <c r="L227" s="68"/>
      <c r="M227" s="68"/>
      <c r="N227" s="68"/>
      <c r="O227" s="68"/>
      <c r="P227" s="68"/>
      <c r="Q227" s="68"/>
      <c r="R227" s="68"/>
      <c r="S227" s="68"/>
      <c r="T227" s="68"/>
      <c r="U227" s="68"/>
      <c r="V227" s="68"/>
      <c r="W227" s="68"/>
    </row>
    <row r="228" spans="1:23" hidden="1">
      <c r="A228" s="69" t="str">
        <f t="shared" si="21"/>
        <v>Bitter Gurd</v>
      </c>
      <c r="B228" s="69"/>
      <c r="C228" s="159"/>
      <c r="D228" s="70">
        <f t="shared" si="25"/>
        <v>0</v>
      </c>
      <c r="E228" s="70">
        <f t="shared" si="25"/>
        <v>0</v>
      </c>
      <c r="F228" s="70">
        <f t="shared" si="25"/>
        <v>0</v>
      </c>
      <c r="G228" s="70">
        <f t="shared" si="25"/>
        <v>0</v>
      </c>
      <c r="H228" s="70">
        <f t="shared" si="25"/>
        <v>0</v>
      </c>
      <c r="I228" s="70">
        <f t="shared" si="25"/>
        <v>0</v>
      </c>
      <c r="J228" s="70">
        <f t="shared" si="25"/>
        <v>0</v>
      </c>
      <c r="K228" s="68"/>
      <c r="L228" s="68"/>
      <c r="M228" s="68"/>
      <c r="N228" s="68"/>
      <c r="O228" s="68"/>
      <c r="P228" s="68"/>
      <c r="Q228" s="68"/>
      <c r="R228" s="68"/>
      <c r="S228" s="68"/>
      <c r="T228" s="68"/>
      <c r="U228" s="68"/>
      <c r="V228" s="68"/>
      <c r="W228" s="68"/>
    </row>
    <row r="229" spans="1:23" hidden="1">
      <c r="A229" s="69">
        <f t="shared" si="21"/>
        <v>0</v>
      </c>
      <c r="B229" s="69"/>
      <c r="C229" s="159"/>
      <c r="D229" s="70">
        <f t="shared" si="25"/>
        <v>0</v>
      </c>
      <c r="E229" s="70">
        <f t="shared" si="25"/>
        <v>0</v>
      </c>
      <c r="F229" s="70">
        <f t="shared" si="25"/>
        <v>0</v>
      </c>
      <c r="G229" s="70">
        <f t="shared" si="25"/>
        <v>0</v>
      </c>
      <c r="H229" s="70">
        <f t="shared" si="25"/>
        <v>0</v>
      </c>
      <c r="I229" s="70">
        <f t="shared" si="25"/>
        <v>0</v>
      </c>
      <c r="J229" s="70">
        <f t="shared" si="25"/>
        <v>0</v>
      </c>
      <c r="K229" s="68"/>
      <c r="L229" s="68"/>
      <c r="M229" s="68"/>
      <c r="N229" s="68"/>
      <c r="O229" s="68"/>
      <c r="P229" s="68"/>
      <c r="Q229" s="68"/>
      <c r="R229" s="68"/>
      <c r="S229" s="68"/>
      <c r="T229" s="68"/>
      <c r="U229" s="68"/>
      <c r="V229" s="68"/>
      <c r="W229" s="68"/>
    </row>
    <row r="230" spans="1:23" hidden="1">
      <c r="A230" s="69" t="str">
        <f t="shared" si="21"/>
        <v>Exotic Vegitables</v>
      </c>
      <c r="B230" s="69"/>
      <c r="C230" s="159"/>
      <c r="D230" s="70">
        <f t="shared" si="25"/>
        <v>0</v>
      </c>
      <c r="E230" s="70">
        <f t="shared" si="25"/>
        <v>0</v>
      </c>
      <c r="F230" s="70">
        <f t="shared" si="25"/>
        <v>0</v>
      </c>
      <c r="G230" s="70">
        <f t="shared" si="25"/>
        <v>0</v>
      </c>
      <c r="H230" s="70">
        <f t="shared" si="25"/>
        <v>0</v>
      </c>
      <c r="I230" s="70">
        <f t="shared" si="25"/>
        <v>0</v>
      </c>
      <c r="J230" s="70">
        <f t="shared" si="25"/>
        <v>0</v>
      </c>
      <c r="K230" s="68"/>
      <c r="L230" s="68"/>
      <c r="M230" s="68"/>
      <c r="N230" s="68"/>
      <c r="O230" s="68"/>
      <c r="P230" s="68"/>
      <c r="Q230" s="68"/>
      <c r="R230" s="68"/>
      <c r="S230" s="68"/>
      <c r="T230" s="68"/>
      <c r="U230" s="68"/>
      <c r="V230" s="68"/>
      <c r="W230" s="68"/>
    </row>
    <row r="231" spans="1:23" hidden="1">
      <c r="A231" s="69" t="str">
        <f t="shared" si="21"/>
        <v>Tomato</v>
      </c>
      <c r="B231" s="69"/>
      <c r="C231" s="159"/>
      <c r="D231" s="70">
        <f t="shared" ref="D231:J238" si="26">D96*$C231*D$124</f>
        <v>0</v>
      </c>
      <c r="E231" s="70">
        <f t="shared" si="26"/>
        <v>0</v>
      </c>
      <c r="F231" s="70">
        <f t="shared" si="26"/>
        <v>0</v>
      </c>
      <c r="G231" s="70">
        <f t="shared" si="26"/>
        <v>0</v>
      </c>
      <c r="H231" s="70">
        <f t="shared" si="26"/>
        <v>0</v>
      </c>
      <c r="I231" s="70">
        <f t="shared" si="26"/>
        <v>0</v>
      </c>
      <c r="J231" s="70">
        <f t="shared" si="26"/>
        <v>0</v>
      </c>
      <c r="K231" s="68"/>
      <c r="L231" s="68"/>
      <c r="M231" s="68"/>
      <c r="N231" s="68"/>
      <c r="O231" s="68"/>
      <c r="P231" s="68"/>
      <c r="Q231" s="68"/>
      <c r="R231" s="68"/>
      <c r="S231" s="68"/>
      <c r="T231" s="68"/>
      <c r="U231" s="68"/>
      <c r="V231" s="68"/>
      <c r="W231" s="68"/>
    </row>
    <row r="232" spans="1:23" hidden="1">
      <c r="A232" s="69" t="str">
        <f t="shared" si="21"/>
        <v>Okra</v>
      </c>
      <c r="B232" s="69"/>
      <c r="C232" s="159"/>
      <c r="D232" s="70">
        <f t="shared" si="26"/>
        <v>0</v>
      </c>
      <c r="E232" s="70">
        <f t="shared" si="26"/>
        <v>0</v>
      </c>
      <c r="F232" s="70">
        <f t="shared" si="26"/>
        <v>0</v>
      </c>
      <c r="G232" s="70">
        <f t="shared" si="26"/>
        <v>0</v>
      </c>
      <c r="H232" s="70">
        <f t="shared" si="26"/>
        <v>0</v>
      </c>
      <c r="I232" s="70">
        <f t="shared" si="26"/>
        <v>0</v>
      </c>
      <c r="J232" s="70">
        <f t="shared" si="26"/>
        <v>0</v>
      </c>
      <c r="K232" s="68"/>
      <c r="L232" s="68"/>
      <c r="M232" s="68"/>
      <c r="N232" s="68"/>
      <c r="O232" s="68"/>
      <c r="P232" s="68"/>
      <c r="Q232" s="68"/>
      <c r="R232" s="68"/>
      <c r="S232" s="68"/>
      <c r="T232" s="68"/>
      <c r="U232" s="68"/>
      <c r="V232" s="68"/>
      <c r="W232" s="68"/>
    </row>
    <row r="233" spans="1:23" hidden="1">
      <c r="A233" s="69" t="str">
        <f t="shared" si="21"/>
        <v>Chilli</v>
      </c>
      <c r="B233" s="69"/>
      <c r="C233" s="159"/>
      <c r="D233" s="70">
        <f t="shared" si="26"/>
        <v>0</v>
      </c>
      <c r="E233" s="70">
        <f t="shared" si="26"/>
        <v>0</v>
      </c>
      <c r="F233" s="70">
        <f t="shared" si="26"/>
        <v>0</v>
      </c>
      <c r="G233" s="70">
        <f t="shared" si="26"/>
        <v>0</v>
      </c>
      <c r="H233" s="70">
        <f t="shared" si="26"/>
        <v>0</v>
      </c>
      <c r="I233" s="70">
        <f t="shared" si="26"/>
        <v>0</v>
      </c>
      <c r="J233" s="70">
        <f t="shared" si="26"/>
        <v>0</v>
      </c>
      <c r="K233" s="68"/>
      <c r="L233" s="68"/>
      <c r="M233" s="68"/>
      <c r="N233" s="68"/>
      <c r="O233" s="68"/>
      <c r="P233" s="68"/>
      <c r="Q233" s="68"/>
      <c r="R233" s="68"/>
      <c r="S233" s="68"/>
      <c r="T233" s="68"/>
      <c r="U233" s="68"/>
      <c r="V233" s="68"/>
      <c r="W233" s="68"/>
    </row>
    <row r="234" spans="1:23" hidden="1">
      <c r="A234" s="69" t="str">
        <f t="shared" si="21"/>
        <v>Brinjal</v>
      </c>
      <c r="B234" s="69"/>
      <c r="C234" s="159"/>
      <c r="D234" s="70">
        <f t="shared" si="26"/>
        <v>0</v>
      </c>
      <c r="E234" s="70">
        <f t="shared" si="26"/>
        <v>0</v>
      </c>
      <c r="F234" s="70">
        <f t="shared" si="26"/>
        <v>0</v>
      </c>
      <c r="G234" s="70">
        <f t="shared" si="26"/>
        <v>0</v>
      </c>
      <c r="H234" s="70">
        <f t="shared" si="26"/>
        <v>0</v>
      </c>
      <c r="I234" s="70">
        <f t="shared" si="26"/>
        <v>0</v>
      </c>
      <c r="J234" s="70">
        <f t="shared" si="26"/>
        <v>0</v>
      </c>
      <c r="K234" s="68"/>
      <c r="L234" s="68"/>
      <c r="M234" s="68"/>
      <c r="N234" s="68"/>
      <c r="O234" s="68"/>
      <c r="P234" s="68"/>
      <c r="Q234" s="68"/>
      <c r="R234" s="68"/>
      <c r="S234" s="68"/>
      <c r="T234" s="68"/>
      <c r="U234" s="68"/>
      <c r="V234" s="68"/>
      <c r="W234" s="68"/>
    </row>
    <row r="235" spans="1:23" hidden="1">
      <c r="A235" s="69" t="str">
        <f t="shared" si="21"/>
        <v>Ginger</v>
      </c>
      <c r="B235" s="69"/>
      <c r="C235" s="159"/>
      <c r="D235" s="70">
        <f t="shared" si="26"/>
        <v>0</v>
      </c>
      <c r="E235" s="70">
        <f t="shared" si="26"/>
        <v>0</v>
      </c>
      <c r="F235" s="70">
        <f t="shared" si="26"/>
        <v>0</v>
      </c>
      <c r="G235" s="70">
        <f t="shared" si="26"/>
        <v>0</v>
      </c>
      <c r="H235" s="70">
        <f t="shared" si="26"/>
        <v>0</v>
      </c>
      <c r="I235" s="70">
        <f t="shared" si="26"/>
        <v>0</v>
      </c>
      <c r="J235" s="70">
        <f t="shared" si="26"/>
        <v>0</v>
      </c>
      <c r="K235" s="68"/>
      <c r="L235" s="68"/>
      <c r="M235" s="68"/>
      <c r="N235" s="68"/>
      <c r="O235" s="68"/>
      <c r="P235" s="68"/>
      <c r="Q235" s="68"/>
      <c r="R235" s="68"/>
      <c r="S235" s="68"/>
      <c r="T235" s="68"/>
      <c r="U235" s="68"/>
      <c r="V235" s="68"/>
      <c r="W235" s="68"/>
    </row>
    <row r="236" spans="1:23" hidden="1">
      <c r="A236" s="69">
        <f t="shared" si="21"/>
        <v>0</v>
      </c>
      <c r="B236" s="69"/>
      <c r="C236" s="159"/>
      <c r="D236" s="70">
        <f t="shared" si="26"/>
        <v>0</v>
      </c>
      <c r="E236" s="70">
        <f t="shared" si="26"/>
        <v>0</v>
      </c>
      <c r="F236" s="70">
        <f t="shared" si="26"/>
        <v>0</v>
      </c>
      <c r="G236" s="70">
        <f t="shared" si="26"/>
        <v>0</v>
      </c>
      <c r="H236" s="70">
        <f t="shared" si="26"/>
        <v>0</v>
      </c>
      <c r="I236" s="70">
        <f t="shared" si="26"/>
        <v>0</v>
      </c>
      <c r="J236" s="70">
        <f t="shared" si="26"/>
        <v>0</v>
      </c>
      <c r="K236" s="68"/>
      <c r="L236" s="68"/>
      <c r="M236" s="68"/>
      <c r="N236" s="68"/>
      <c r="O236" s="68"/>
      <c r="P236" s="68"/>
      <c r="Q236" s="68"/>
      <c r="R236" s="68"/>
      <c r="S236" s="68"/>
      <c r="T236" s="68"/>
      <c r="U236" s="68"/>
      <c r="V236" s="68"/>
      <c r="W236" s="68"/>
    </row>
    <row r="237" spans="1:23" hidden="1">
      <c r="A237" s="69">
        <f t="shared" si="21"/>
        <v>0</v>
      </c>
      <c r="B237" s="69"/>
      <c r="C237" s="159"/>
      <c r="D237" s="70">
        <f t="shared" si="26"/>
        <v>0</v>
      </c>
      <c r="E237" s="70">
        <f t="shared" si="26"/>
        <v>0</v>
      </c>
      <c r="F237" s="70">
        <f t="shared" si="26"/>
        <v>0</v>
      </c>
      <c r="G237" s="70">
        <f t="shared" si="26"/>
        <v>0</v>
      </c>
      <c r="H237" s="70">
        <f t="shared" si="26"/>
        <v>0</v>
      </c>
      <c r="I237" s="70">
        <f t="shared" si="26"/>
        <v>0</v>
      </c>
      <c r="J237" s="70">
        <f t="shared" si="26"/>
        <v>0</v>
      </c>
      <c r="K237" s="68"/>
      <c r="L237" s="68"/>
      <c r="M237" s="68"/>
      <c r="N237" s="68"/>
      <c r="O237" s="68"/>
      <c r="P237" s="68"/>
      <c r="Q237" s="68"/>
      <c r="R237" s="68"/>
      <c r="S237" s="68"/>
      <c r="T237" s="68"/>
      <c r="U237" s="68"/>
      <c r="V237" s="68"/>
      <c r="W237" s="68"/>
    </row>
    <row r="238" spans="1:23" hidden="1">
      <c r="A238" s="69" t="str">
        <f t="shared" si="21"/>
        <v>Spinach</v>
      </c>
      <c r="B238" s="69"/>
      <c r="C238" s="159"/>
      <c r="D238" s="70">
        <f t="shared" si="26"/>
        <v>0</v>
      </c>
      <c r="E238" s="70">
        <f t="shared" si="26"/>
        <v>0</v>
      </c>
      <c r="F238" s="70">
        <f t="shared" si="26"/>
        <v>0</v>
      </c>
      <c r="G238" s="70">
        <f t="shared" si="26"/>
        <v>0</v>
      </c>
      <c r="H238" s="70">
        <f t="shared" si="26"/>
        <v>0</v>
      </c>
      <c r="I238" s="70">
        <f t="shared" si="26"/>
        <v>0</v>
      </c>
      <c r="J238" s="70">
        <f t="shared" si="26"/>
        <v>0</v>
      </c>
      <c r="K238" s="68"/>
      <c r="L238" s="68"/>
      <c r="M238" s="68"/>
      <c r="N238" s="68"/>
      <c r="O238" s="68"/>
      <c r="P238" s="68"/>
      <c r="Q238" s="68"/>
      <c r="R238" s="68"/>
      <c r="S238" s="68"/>
      <c r="T238" s="68"/>
      <c r="U238" s="68"/>
      <c r="V238" s="68"/>
      <c r="W238" s="68"/>
    </row>
    <row r="239" spans="1:23" hidden="1">
      <c r="A239" s="69" t="str">
        <f>A175</f>
        <v>Pomegranate</v>
      </c>
      <c r="B239" s="69"/>
      <c r="C239" s="159"/>
      <c r="D239" s="70">
        <f t="shared" ref="D239:J243" si="27">D107*$C239*D$124</f>
        <v>0</v>
      </c>
      <c r="E239" s="70">
        <f t="shared" si="27"/>
        <v>0</v>
      </c>
      <c r="F239" s="70">
        <f t="shared" si="27"/>
        <v>0</v>
      </c>
      <c r="G239" s="70">
        <f t="shared" si="27"/>
        <v>0</v>
      </c>
      <c r="H239" s="70">
        <f t="shared" si="27"/>
        <v>0</v>
      </c>
      <c r="I239" s="70">
        <f t="shared" si="27"/>
        <v>0</v>
      </c>
      <c r="J239" s="70">
        <f t="shared" si="27"/>
        <v>0</v>
      </c>
      <c r="K239" s="68"/>
      <c r="L239" s="68"/>
      <c r="M239" s="68"/>
      <c r="N239" s="68"/>
      <c r="O239" s="68"/>
      <c r="P239" s="68"/>
      <c r="Q239" s="68"/>
      <c r="R239" s="68"/>
      <c r="S239" s="68"/>
      <c r="T239" s="68"/>
      <c r="U239" s="68"/>
      <c r="V239" s="68"/>
      <c r="W239" s="68"/>
    </row>
    <row r="240" spans="1:23" hidden="1">
      <c r="A240" s="69" t="str">
        <f>A176</f>
        <v>Banana</v>
      </c>
      <c r="B240" s="69"/>
      <c r="C240" s="159"/>
      <c r="D240" s="70">
        <f t="shared" si="27"/>
        <v>0</v>
      </c>
      <c r="E240" s="70">
        <f t="shared" si="27"/>
        <v>0</v>
      </c>
      <c r="F240" s="70">
        <f t="shared" si="27"/>
        <v>0</v>
      </c>
      <c r="G240" s="70">
        <f t="shared" si="27"/>
        <v>0</v>
      </c>
      <c r="H240" s="70">
        <f t="shared" si="27"/>
        <v>0</v>
      </c>
      <c r="I240" s="70">
        <f t="shared" si="27"/>
        <v>0</v>
      </c>
      <c r="J240" s="70">
        <f t="shared" si="27"/>
        <v>0</v>
      </c>
      <c r="K240" s="68"/>
      <c r="L240" s="68"/>
      <c r="M240" s="68"/>
      <c r="N240" s="68"/>
      <c r="O240" s="68"/>
      <c r="P240" s="68"/>
      <c r="Q240" s="68"/>
      <c r="R240" s="68"/>
      <c r="S240" s="68"/>
      <c r="T240" s="68"/>
      <c r="U240" s="68"/>
      <c r="V240" s="68"/>
      <c r="W240" s="68"/>
    </row>
    <row r="241" spans="1:23" hidden="1">
      <c r="A241" s="69" t="str">
        <f>A177</f>
        <v>Graps</v>
      </c>
      <c r="B241" s="69"/>
      <c r="C241" s="159"/>
      <c r="D241" s="70">
        <f t="shared" si="27"/>
        <v>0</v>
      </c>
      <c r="E241" s="70">
        <f t="shared" si="27"/>
        <v>0</v>
      </c>
      <c r="F241" s="70">
        <f t="shared" si="27"/>
        <v>0</v>
      </c>
      <c r="G241" s="70">
        <f t="shared" si="27"/>
        <v>0</v>
      </c>
      <c r="H241" s="70">
        <f t="shared" si="27"/>
        <v>0</v>
      </c>
      <c r="I241" s="70">
        <f t="shared" si="27"/>
        <v>0</v>
      </c>
      <c r="J241" s="70">
        <f t="shared" si="27"/>
        <v>0</v>
      </c>
      <c r="K241" s="68"/>
      <c r="L241" s="68"/>
      <c r="M241" s="68"/>
      <c r="N241" s="68"/>
      <c r="O241" s="68"/>
      <c r="P241" s="68"/>
      <c r="Q241" s="68"/>
      <c r="R241" s="68"/>
      <c r="S241" s="68"/>
      <c r="T241" s="68"/>
      <c r="U241" s="68"/>
      <c r="V241" s="68"/>
      <c r="W241" s="68"/>
    </row>
    <row r="242" spans="1:23" hidden="1">
      <c r="A242" s="69" t="str">
        <f>A178</f>
        <v>Citrus</v>
      </c>
      <c r="B242" s="69"/>
      <c r="C242" s="159"/>
      <c r="D242" s="70">
        <f t="shared" si="27"/>
        <v>0</v>
      </c>
      <c r="E242" s="70">
        <f t="shared" si="27"/>
        <v>0</v>
      </c>
      <c r="F242" s="70">
        <f t="shared" si="27"/>
        <v>0</v>
      </c>
      <c r="G242" s="70">
        <f t="shared" si="27"/>
        <v>0</v>
      </c>
      <c r="H242" s="70">
        <f t="shared" si="27"/>
        <v>0</v>
      </c>
      <c r="I242" s="70">
        <f t="shared" si="27"/>
        <v>0</v>
      </c>
      <c r="J242" s="70">
        <f t="shared" si="27"/>
        <v>0</v>
      </c>
      <c r="K242" s="68"/>
      <c r="L242" s="68"/>
      <c r="M242" s="68"/>
      <c r="N242" s="68"/>
      <c r="O242" s="68"/>
      <c r="P242" s="68"/>
      <c r="Q242" s="68"/>
      <c r="R242" s="68"/>
      <c r="S242" s="68"/>
      <c r="T242" s="68"/>
      <c r="U242" s="68"/>
      <c r="V242" s="68"/>
      <c r="W242" s="68"/>
    </row>
    <row r="243" spans="1:23" hidden="1">
      <c r="A243" s="69">
        <f>A179</f>
        <v>0</v>
      </c>
      <c r="B243" s="69"/>
      <c r="C243" s="159"/>
      <c r="D243" s="70">
        <f t="shared" si="27"/>
        <v>0</v>
      </c>
      <c r="E243" s="70">
        <f t="shared" si="27"/>
        <v>0</v>
      </c>
      <c r="F243" s="70">
        <f t="shared" si="27"/>
        <v>0</v>
      </c>
      <c r="G243" s="70">
        <f t="shared" si="27"/>
        <v>0</v>
      </c>
      <c r="H243" s="70">
        <f t="shared" si="27"/>
        <v>0</v>
      </c>
      <c r="I243" s="70">
        <f t="shared" si="27"/>
        <v>0</v>
      </c>
      <c r="J243" s="70">
        <f t="shared" si="27"/>
        <v>0</v>
      </c>
      <c r="K243" s="68"/>
      <c r="L243" s="68"/>
      <c r="M243" s="68"/>
      <c r="N243" s="68"/>
      <c r="O243" s="68"/>
      <c r="P243" s="68"/>
      <c r="Q243" s="68"/>
      <c r="R243" s="68"/>
      <c r="S243" s="68"/>
      <c r="T243" s="68"/>
      <c r="U243" s="68"/>
      <c r="V243" s="68"/>
      <c r="W243" s="68"/>
    </row>
    <row r="244" spans="1:23">
      <c r="A244" s="69" t="str">
        <f>A181</f>
        <v>Fertilizer(Rate/KG)</v>
      </c>
      <c r="B244" s="69"/>
      <c r="C244" s="159"/>
      <c r="D244" s="70"/>
      <c r="E244" s="70"/>
      <c r="F244" s="70"/>
      <c r="G244" s="70"/>
      <c r="H244" s="70"/>
      <c r="I244" s="70"/>
      <c r="J244" s="70"/>
      <c r="K244" s="68"/>
      <c r="L244" s="68"/>
      <c r="M244" s="68"/>
      <c r="N244" s="68"/>
      <c r="O244" s="68"/>
      <c r="P244" s="68"/>
      <c r="Q244" s="68"/>
      <c r="R244" s="68"/>
      <c r="S244" s="68"/>
      <c r="T244" s="68"/>
      <c r="U244" s="68"/>
      <c r="V244" s="68"/>
      <c r="W244" s="68"/>
    </row>
    <row r="245" spans="1:23">
      <c r="A245" s="69" t="str">
        <f>A182</f>
        <v>SSP</v>
      </c>
      <c r="B245" s="69"/>
      <c r="C245" s="159">
        <v>6</v>
      </c>
      <c r="D245" s="70">
        <f t="shared" ref="D245:J245" si="28">D114*$C$245*D124</f>
        <v>0</v>
      </c>
      <c r="E245" s="70">
        <f t="shared" si="28"/>
        <v>0</v>
      </c>
      <c r="F245" s="70">
        <f t="shared" si="28"/>
        <v>0</v>
      </c>
      <c r="G245" s="70">
        <f t="shared" si="28"/>
        <v>0</v>
      </c>
      <c r="H245" s="70">
        <f t="shared" si="28"/>
        <v>0</v>
      </c>
      <c r="I245" s="70">
        <f t="shared" si="28"/>
        <v>0</v>
      </c>
      <c r="J245" s="70">
        <f t="shared" si="28"/>
        <v>0</v>
      </c>
      <c r="K245" s="68"/>
      <c r="L245" s="68"/>
      <c r="M245" s="68"/>
      <c r="N245" s="68"/>
      <c r="O245" s="68"/>
      <c r="P245" s="68"/>
      <c r="Q245" s="68"/>
      <c r="R245" s="68"/>
      <c r="S245" s="68"/>
      <c r="T245" s="68"/>
      <c r="U245" s="68"/>
      <c r="V245" s="68"/>
      <c r="W245" s="68"/>
    </row>
    <row r="246" spans="1:23">
      <c r="A246" s="69" t="str">
        <f>A183</f>
        <v>Urea</v>
      </c>
      <c r="B246" s="69"/>
      <c r="C246" s="159">
        <v>5</v>
      </c>
      <c r="D246" s="70">
        <f t="shared" ref="D246:J246" si="29">D115*$C$246*D124</f>
        <v>0</v>
      </c>
      <c r="E246" s="70">
        <f t="shared" si="29"/>
        <v>0</v>
      </c>
      <c r="F246" s="70">
        <f t="shared" si="29"/>
        <v>0</v>
      </c>
      <c r="G246" s="70">
        <f t="shared" si="29"/>
        <v>0</v>
      </c>
      <c r="H246" s="70">
        <f t="shared" si="29"/>
        <v>0</v>
      </c>
      <c r="I246" s="70">
        <f t="shared" si="29"/>
        <v>0</v>
      </c>
      <c r="J246" s="70">
        <f t="shared" si="29"/>
        <v>0</v>
      </c>
      <c r="K246" s="68"/>
      <c r="L246" s="68"/>
      <c r="M246" s="68"/>
      <c r="N246" s="68"/>
      <c r="O246" s="68"/>
      <c r="P246" s="68"/>
      <c r="Q246" s="68"/>
      <c r="R246" s="68"/>
      <c r="S246" s="68"/>
      <c r="T246" s="68"/>
      <c r="U246" s="68"/>
      <c r="V246" s="68"/>
      <c r="W246" s="68"/>
    </row>
    <row r="247" spans="1:23">
      <c r="A247" s="69" t="str">
        <f>A184</f>
        <v>DAP</v>
      </c>
      <c r="B247" s="69"/>
      <c r="C247" s="159">
        <v>27</v>
      </c>
      <c r="D247" s="70">
        <f t="shared" ref="D247:J247" si="30">D116*$C$247*D124</f>
        <v>0</v>
      </c>
      <c r="E247" s="70">
        <f t="shared" si="30"/>
        <v>0</v>
      </c>
      <c r="F247" s="70">
        <f t="shared" si="30"/>
        <v>0</v>
      </c>
      <c r="G247" s="70">
        <f t="shared" si="30"/>
        <v>0</v>
      </c>
      <c r="H247" s="70">
        <f t="shared" si="30"/>
        <v>0</v>
      </c>
      <c r="I247" s="70">
        <f t="shared" si="30"/>
        <v>0</v>
      </c>
      <c r="J247" s="70">
        <f t="shared" si="30"/>
        <v>0</v>
      </c>
      <c r="K247" s="68"/>
      <c r="L247" s="68"/>
      <c r="M247" s="68"/>
      <c r="N247" s="68"/>
      <c r="O247" s="68"/>
      <c r="P247" s="68"/>
      <c r="Q247" s="68"/>
      <c r="R247" s="68"/>
      <c r="S247" s="68"/>
      <c r="T247" s="68"/>
      <c r="U247" s="68"/>
      <c r="V247" s="68"/>
      <c r="W247" s="68"/>
    </row>
    <row r="248" spans="1:23" ht="5.25" customHeight="1">
      <c r="A248" s="69"/>
      <c r="B248" s="69"/>
      <c r="C248" s="159"/>
      <c r="D248" s="70"/>
      <c r="E248" s="70"/>
      <c r="F248" s="70"/>
      <c r="G248" s="70"/>
      <c r="H248" s="70"/>
      <c r="I248" s="70"/>
      <c r="J248" s="70"/>
      <c r="K248" s="68"/>
      <c r="L248" s="68"/>
      <c r="M248" s="68"/>
      <c r="N248" s="68"/>
      <c r="O248" s="68"/>
      <c r="P248" s="68"/>
      <c r="Q248" s="68"/>
      <c r="R248" s="68"/>
      <c r="S248" s="68"/>
      <c r="T248" s="68"/>
      <c r="U248" s="68"/>
      <c r="V248" s="68"/>
      <c r="W248" s="68"/>
    </row>
    <row r="249" spans="1:23">
      <c r="A249" s="69" t="str">
        <f>A186</f>
        <v>Pesticide</v>
      </c>
      <c r="B249" s="69"/>
      <c r="C249" s="159"/>
      <c r="D249" s="70"/>
      <c r="E249" s="70"/>
      <c r="F249" s="70"/>
      <c r="G249" s="70"/>
      <c r="H249" s="70"/>
      <c r="I249" s="70"/>
      <c r="J249" s="70"/>
      <c r="K249" s="68"/>
      <c r="L249" s="68"/>
      <c r="M249" s="68"/>
      <c r="N249" s="68"/>
      <c r="O249" s="68"/>
      <c r="P249" s="68"/>
      <c r="Q249" s="68"/>
      <c r="R249" s="68"/>
      <c r="S249" s="68"/>
      <c r="T249" s="68"/>
      <c r="U249" s="68"/>
      <c r="V249" s="68"/>
      <c r="W249" s="68"/>
    </row>
    <row r="250" spans="1:23">
      <c r="A250" s="69" t="str">
        <f>A187</f>
        <v>Dupont Coragen</v>
      </c>
      <c r="B250" s="69"/>
      <c r="C250" s="159">
        <v>2800</v>
      </c>
      <c r="D250" s="70">
        <f t="shared" ref="D250:J250" si="31">D118*$C$250*D124</f>
        <v>0</v>
      </c>
      <c r="E250" s="70">
        <f t="shared" si="31"/>
        <v>0</v>
      </c>
      <c r="F250" s="70">
        <f t="shared" si="31"/>
        <v>0</v>
      </c>
      <c r="G250" s="70">
        <f t="shared" si="31"/>
        <v>0</v>
      </c>
      <c r="H250" s="70">
        <f t="shared" si="31"/>
        <v>0</v>
      </c>
      <c r="I250" s="70">
        <f t="shared" si="31"/>
        <v>0</v>
      </c>
      <c r="J250" s="70">
        <f t="shared" si="31"/>
        <v>0</v>
      </c>
      <c r="K250" s="68">
        <v>2800</v>
      </c>
      <c r="L250" s="68"/>
      <c r="M250" s="68"/>
      <c r="N250" s="68"/>
      <c r="O250" s="68"/>
      <c r="P250" s="68"/>
      <c r="Q250" s="68"/>
      <c r="R250" s="68"/>
      <c r="S250" s="68"/>
      <c r="T250" s="68"/>
      <c r="U250" s="68"/>
      <c r="V250" s="68"/>
      <c r="W250" s="68"/>
    </row>
    <row r="251" spans="1:23">
      <c r="A251" s="69" t="str">
        <f>A188</f>
        <v>Confidor Boyer</v>
      </c>
      <c r="B251" s="69"/>
      <c r="C251" s="159">
        <v>2000</v>
      </c>
      <c r="D251" s="70">
        <f t="shared" ref="D251:J251" si="32">D119*$C$251*D124</f>
        <v>0</v>
      </c>
      <c r="E251" s="70">
        <f t="shared" si="32"/>
        <v>0</v>
      </c>
      <c r="F251" s="70">
        <f t="shared" si="32"/>
        <v>0</v>
      </c>
      <c r="G251" s="70">
        <f t="shared" si="32"/>
        <v>0</v>
      </c>
      <c r="H251" s="70">
        <f t="shared" si="32"/>
        <v>0</v>
      </c>
      <c r="I251" s="70">
        <f t="shared" si="32"/>
        <v>0</v>
      </c>
      <c r="J251" s="70">
        <f t="shared" si="32"/>
        <v>0</v>
      </c>
      <c r="K251" s="68">
        <v>2000</v>
      </c>
      <c r="L251" s="68"/>
      <c r="M251" s="68"/>
      <c r="N251" s="68"/>
      <c r="O251" s="68"/>
      <c r="P251" s="68"/>
      <c r="Q251" s="68"/>
      <c r="R251" s="68"/>
      <c r="S251" s="68"/>
      <c r="T251" s="68"/>
      <c r="U251" s="68"/>
      <c r="V251" s="68"/>
      <c r="W251" s="68"/>
    </row>
    <row r="252" spans="1:23" ht="5.25" customHeight="1">
      <c r="A252" s="69"/>
      <c r="B252" s="69"/>
      <c r="C252" s="159"/>
      <c r="D252" s="70"/>
      <c r="E252" s="70"/>
      <c r="F252" s="70"/>
      <c r="G252" s="70"/>
      <c r="H252" s="70"/>
      <c r="I252" s="70"/>
      <c r="J252" s="70"/>
      <c r="K252" s="68"/>
      <c r="L252" s="68"/>
      <c r="M252" s="68"/>
      <c r="N252" s="68"/>
      <c r="O252" s="68"/>
      <c r="P252" s="68"/>
      <c r="Q252" s="68"/>
      <c r="R252" s="68"/>
      <c r="S252" s="68"/>
      <c r="T252" s="68"/>
      <c r="U252" s="68"/>
      <c r="V252" s="68"/>
      <c r="W252" s="68"/>
    </row>
    <row r="253" spans="1:23">
      <c r="A253" s="69" t="s">
        <v>293</v>
      </c>
      <c r="B253" s="69"/>
      <c r="C253" s="159">
        <v>10</v>
      </c>
      <c r="D253" s="70">
        <f t="shared" ref="D253:J253" si="33">(SUM(D62:D119)/50)*$C$253*D124</f>
        <v>0</v>
      </c>
      <c r="E253" s="70">
        <f t="shared" si="33"/>
        <v>0</v>
      </c>
      <c r="F253" s="70">
        <f t="shared" si="33"/>
        <v>0</v>
      </c>
      <c r="G253" s="70">
        <f t="shared" si="33"/>
        <v>0</v>
      </c>
      <c r="H253" s="70">
        <f t="shared" si="33"/>
        <v>0</v>
      </c>
      <c r="I253" s="70">
        <f t="shared" si="33"/>
        <v>0</v>
      </c>
      <c r="J253" s="70">
        <f t="shared" si="33"/>
        <v>0</v>
      </c>
      <c r="K253" s="68"/>
      <c r="L253" s="68"/>
      <c r="M253" s="68"/>
      <c r="N253" s="68"/>
      <c r="O253" s="68"/>
      <c r="P253" s="68"/>
      <c r="Q253" s="68"/>
      <c r="R253" s="68"/>
      <c r="S253" s="68"/>
      <c r="T253" s="68"/>
      <c r="U253" s="68"/>
      <c r="V253" s="68"/>
      <c r="W253" s="68"/>
    </row>
    <row r="254" spans="1:23">
      <c r="A254" s="69" t="s">
        <v>173</v>
      </c>
      <c r="B254" s="69"/>
      <c r="C254" s="159">
        <v>50</v>
      </c>
      <c r="D254" s="70">
        <f t="shared" ref="D254:J254" si="34">(SUM(D62:D119)/50)*$C$254*D124</f>
        <v>0</v>
      </c>
      <c r="E254" s="70">
        <f t="shared" si="34"/>
        <v>0</v>
      </c>
      <c r="F254" s="70">
        <f t="shared" si="34"/>
        <v>0</v>
      </c>
      <c r="G254" s="70">
        <f t="shared" si="34"/>
        <v>0</v>
      </c>
      <c r="H254" s="70">
        <f t="shared" si="34"/>
        <v>0</v>
      </c>
      <c r="I254" s="70">
        <f t="shared" si="34"/>
        <v>0</v>
      </c>
      <c r="J254" s="70">
        <f t="shared" si="34"/>
        <v>0</v>
      </c>
      <c r="K254" s="68">
        <v>100</v>
      </c>
      <c r="L254" s="68"/>
      <c r="M254" s="68"/>
      <c r="N254" s="68"/>
      <c r="O254" s="68"/>
      <c r="P254" s="68"/>
      <c r="Q254" s="68"/>
      <c r="R254" s="68"/>
      <c r="S254" s="68"/>
      <c r="T254" s="68"/>
      <c r="U254" s="68"/>
      <c r="V254" s="68"/>
      <c r="W254" s="68"/>
    </row>
    <row r="255" spans="1:23" hidden="1">
      <c r="A255" s="69"/>
      <c r="B255" s="69"/>
      <c r="C255" s="159"/>
      <c r="D255" s="167"/>
      <c r="E255" s="70"/>
      <c r="F255" s="70"/>
      <c r="G255" s="70"/>
      <c r="H255" s="70"/>
      <c r="I255" s="70"/>
      <c r="J255" s="70"/>
      <c r="K255" s="68"/>
      <c r="L255" s="68"/>
      <c r="M255" s="68"/>
      <c r="N255" s="68"/>
      <c r="O255" s="68"/>
      <c r="P255" s="68"/>
      <c r="Q255" s="68"/>
      <c r="R255" s="68"/>
      <c r="S255" s="68"/>
      <c r="T255" s="68"/>
      <c r="U255" s="68"/>
      <c r="V255" s="68"/>
      <c r="W255" s="68"/>
    </row>
    <row r="256" spans="1:23" hidden="1">
      <c r="A256" s="69"/>
      <c r="B256" s="69"/>
      <c r="C256" s="159"/>
      <c r="D256" s="167"/>
      <c r="E256" s="70"/>
      <c r="F256" s="70"/>
      <c r="G256" s="70"/>
      <c r="H256" s="70"/>
      <c r="I256" s="70"/>
      <c r="J256" s="70"/>
      <c r="K256" s="68"/>
      <c r="L256" s="68"/>
      <c r="M256" s="68"/>
      <c r="N256" s="68"/>
      <c r="O256" s="68"/>
      <c r="P256" s="68"/>
      <c r="Q256" s="68"/>
      <c r="R256" s="68"/>
      <c r="S256" s="68"/>
      <c r="T256" s="68"/>
      <c r="U256" s="68"/>
      <c r="V256" s="68"/>
      <c r="W256" s="68"/>
    </row>
    <row r="257" spans="1:23" hidden="1">
      <c r="A257" s="69"/>
      <c r="B257" s="69"/>
      <c r="C257" s="159"/>
      <c r="D257" s="167"/>
      <c r="E257" s="70"/>
      <c r="F257" s="70"/>
      <c r="G257" s="70"/>
      <c r="H257" s="70"/>
      <c r="I257" s="70"/>
      <c r="J257" s="70"/>
      <c r="K257" s="68"/>
      <c r="L257" s="68"/>
      <c r="M257" s="68"/>
      <c r="N257" s="68"/>
      <c r="O257" s="68"/>
      <c r="P257" s="68"/>
      <c r="Q257" s="68"/>
      <c r="R257" s="68"/>
      <c r="S257" s="68"/>
      <c r="T257" s="68"/>
      <c r="U257" s="68"/>
      <c r="V257" s="68"/>
      <c r="W257" s="68"/>
    </row>
    <row r="258" spans="1:23" ht="6.75" customHeight="1">
      <c r="A258" s="69"/>
      <c r="B258" s="69"/>
      <c r="C258" s="159"/>
      <c r="D258" s="167"/>
      <c r="E258" s="70"/>
      <c r="F258" s="70"/>
      <c r="G258" s="70"/>
      <c r="H258" s="70"/>
      <c r="I258" s="70"/>
      <c r="J258" s="70"/>
      <c r="K258" s="68"/>
      <c r="L258" s="68"/>
      <c r="M258" s="68"/>
      <c r="N258" s="68"/>
      <c r="O258" s="68"/>
      <c r="P258" s="68"/>
      <c r="Q258" s="68"/>
      <c r="R258" s="68"/>
      <c r="S258" s="68"/>
      <c r="T258" s="68"/>
      <c r="U258" s="68"/>
      <c r="V258" s="68"/>
      <c r="W258" s="68"/>
    </row>
    <row r="259" spans="1:23">
      <c r="A259" s="69" t="s">
        <v>347</v>
      </c>
      <c r="B259" s="69"/>
      <c r="C259" s="159"/>
      <c r="D259" s="167"/>
      <c r="E259" s="70">
        <f>'5.Closing Stock &amp; W Capital'!F6</f>
        <v>0</v>
      </c>
      <c r="F259" s="70">
        <f>'5.Closing Stock &amp; W Capital'!G6</f>
        <v>0</v>
      </c>
      <c r="G259" s="70">
        <f>'5.Closing Stock &amp; W Capital'!H6</f>
        <v>0</v>
      </c>
      <c r="H259" s="70">
        <f>'5.Closing Stock &amp; W Capital'!I6</f>
        <v>0</v>
      </c>
      <c r="I259" s="70">
        <f>'5.Closing Stock &amp; W Capital'!J6</f>
        <v>0</v>
      </c>
      <c r="J259" s="70">
        <f>'5.Closing Stock &amp; W Capital'!K6</f>
        <v>0</v>
      </c>
      <c r="K259" s="68"/>
      <c r="L259" s="68"/>
      <c r="M259" s="68"/>
      <c r="N259" s="68"/>
      <c r="O259" s="68"/>
      <c r="P259" s="68"/>
      <c r="Q259" s="68"/>
      <c r="R259" s="68"/>
      <c r="S259" s="68"/>
      <c r="T259" s="68"/>
      <c r="U259" s="68"/>
      <c r="V259" s="68"/>
      <c r="W259" s="68"/>
    </row>
    <row r="260" spans="1:23">
      <c r="A260" s="69" t="s">
        <v>348</v>
      </c>
      <c r="B260" s="69"/>
      <c r="C260" s="69"/>
      <c r="D260" s="167">
        <f>'5.Closing Stock &amp; W Capital'!E15</f>
        <v>0</v>
      </c>
      <c r="E260" s="70">
        <f>'5.Closing Stock &amp; W Capital'!F15</f>
        <v>0</v>
      </c>
      <c r="F260" s="70">
        <f>'5.Closing Stock &amp; W Capital'!G15</f>
        <v>0</v>
      </c>
      <c r="G260" s="70">
        <f>'5.Closing Stock &amp; W Capital'!H15</f>
        <v>0</v>
      </c>
      <c r="H260" s="70">
        <f>'5.Closing Stock &amp; W Capital'!I15</f>
        <v>0</v>
      </c>
      <c r="I260" s="70">
        <f>'5.Closing Stock &amp; W Capital'!J15</f>
        <v>0</v>
      </c>
      <c r="J260" s="70">
        <f>'5.Closing Stock &amp; W Capital'!K15</f>
        <v>0</v>
      </c>
      <c r="K260" s="68"/>
      <c r="L260" s="68"/>
      <c r="M260" s="68"/>
      <c r="N260" s="68"/>
      <c r="O260" s="68"/>
      <c r="P260" s="68"/>
      <c r="Q260" s="68"/>
      <c r="R260" s="68"/>
      <c r="S260" s="68"/>
      <c r="T260" s="68"/>
      <c r="U260" s="68"/>
      <c r="V260" s="68"/>
      <c r="W260" s="68"/>
    </row>
    <row r="261" spans="1:23" ht="6.75" customHeight="1">
      <c r="A261" s="69"/>
      <c r="B261" s="69"/>
      <c r="C261" s="69"/>
      <c r="D261" s="68"/>
      <c r="E261" s="68"/>
      <c r="F261" s="68"/>
      <c r="G261" s="68"/>
      <c r="H261" s="68"/>
      <c r="I261" s="68"/>
      <c r="J261" s="68"/>
      <c r="K261" s="68"/>
      <c r="L261" s="68"/>
      <c r="M261" s="68"/>
      <c r="N261" s="68"/>
      <c r="O261" s="68"/>
      <c r="P261" s="68"/>
      <c r="Q261" s="68"/>
      <c r="R261" s="68"/>
      <c r="S261" s="68"/>
      <c r="T261" s="68"/>
      <c r="U261" s="68"/>
      <c r="V261" s="68"/>
      <c r="W261" s="68"/>
    </row>
    <row r="262" spans="1:23">
      <c r="A262" s="71" t="s">
        <v>325</v>
      </c>
      <c r="B262" s="71"/>
      <c r="C262" s="580"/>
      <c r="D262" s="87">
        <f>SUM(D197:D258)+D259-D260</f>
        <v>0</v>
      </c>
      <c r="E262" s="87">
        <f t="shared" ref="E262:J262" si="35">SUM(E197:E258)+E259-E260</f>
        <v>0</v>
      </c>
      <c r="F262" s="87">
        <f t="shared" si="35"/>
        <v>0</v>
      </c>
      <c r="G262" s="87">
        <f t="shared" si="35"/>
        <v>0</v>
      </c>
      <c r="H262" s="87">
        <f t="shared" si="35"/>
        <v>0</v>
      </c>
      <c r="I262" s="87">
        <f t="shared" si="35"/>
        <v>0</v>
      </c>
      <c r="J262" s="87">
        <f t="shared" si="35"/>
        <v>0</v>
      </c>
      <c r="K262" s="68"/>
      <c r="L262" s="68"/>
      <c r="M262" s="68"/>
      <c r="N262" s="68"/>
      <c r="O262" s="68"/>
      <c r="P262" s="68"/>
      <c r="Q262" s="68"/>
      <c r="R262" s="68"/>
      <c r="S262" s="68"/>
      <c r="T262" s="68"/>
      <c r="U262" s="68"/>
      <c r="V262" s="68"/>
      <c r="W262" s="68"/>
    </row>
    <row r="263" spans="1:23" ht="7.5" customHeight="1">
      <c r="A263" s="69"/>
      <c r="B263" s="69"/>
      <c r="C263" s="159"/>
      <c r="D263" s="70"/>
      <c r="E263" s="70"/>
      <c r="F263" s="70"/>
      <c r="G263" s="70"/>
      <c r="H263" s="70"/>
      <c r="I263" s="70"/>
      <c r="J263" s="70"/>
      <c r="K263" s="68"/>
      <c r="L263" s="68"/>
      <c r="M263" s="68"/>
      <c r="N263" s="68"/>
      <c r="O263" s="68"/>
      <c r="P263" s="68"/>
      <c r="Q263" s="68"/>
      <c r="R263" s="68"/>
      <c r="S263" s="68"/>
      <c r="T263" s="68"/>
      <c r="U263" s="68"/>
      <c r="V263" s="68"/>
      <c r="W263" s="68"/>
    </row>
    <row r="264" spans="1:23">
      <c r="A264" s="71" t="s">
        <v>312</v>
      </c>
      <c r="B264" s="71"/>
      <c r="C264" s="159"/>
      <c r="D264" s="70"/>
      <c r="E264" s="70"/>
      <c r="F264" s="70"/>
      <c r="G264" s="70"/>
      <c r="H264" s="70"/>
      <c r="I264" s="70"/>
      <c r="J264" s="70"/>
      <c r="K264" s="68"/>
      <c r="L264" s="68"/>
      <c r="M264" s="68"/>
      <c r="N264" s="68"/>
      <c r="O264" s="68"/>
      <c r="P264" s="68"/>
      <c r="Q264" s="68"/>
      <c r="R264" s="68"/>
      <c r="S264" s="68"/>
      <c r="T264" s="68"/>
      <c r="U264" s="68"/>
      <c r="V264" s="68"/>
      <c r="W264" s="68"/>
    </row>
    <row r="265" spans="1:23">
      <c r="A265" s="69" t="s">
        <v>330</v>
      </c>
      <c r="B265" s="69"/>
      <c r="C265" s="159"/>
      <c r="D265" s="70">
        <f t="shared" ref="D265:J265" si="36">$B$265*$C$265*D124</f>
        <v>0</v>
      </c>
      <c r="E265" s="70">
        <f t="shared" si="36"/>
        <v>0</v>
      </c>
      <c r="F265" s="70">
        <f t="shared" si="36"/>
        <v>0</v>
      </c>
      <c r="G265" s="70">
        <f t="shared" si="36"/>
        <v>0</v>
      </c>
      <c r="H265" s="70">
        <f t="shared" si="36"/>
        <v>0</v>
      </c>
      <c r="I265" s="70">
        <f t="shared" si="36"/>
        <v>0</v>
      </c>
      <c r="J265" s="70">
        <f t="shared" si="36"/>
        <v>0</v>
      </c>
      <c r="K265" s="68"/>
      <c r="L265" s="68"/>
      <c r="M265" s="68"/>
      <c r="N265" s="68"/>
      <c r="O265" s="68"/>
      <c r="P265" s="68"/>
      <c r="Q265" s="68"/>
      <c r="R265" s="68"/>
      <c r="S265" s="68"/>
      <c r="T265" s="68"/>
      <c r="U265" s="68"/>
      <c r="V265" s="68"/>
      <c r="W265" s="68"/>
    </row>
    <row r="266" spans="1:23">
      <c r="A266" s="69" t="s">
        <v>331</v>
      </c>
      <c r="B266" s="69"/>
      <c r="C266" s="159"/>
      <c r="D266" s="70">
        <f t="shared" ref="D266:J266" si="37">$B$266*$C$266*12*D124</f>
        <v>0</v>
      </c>
      <c r="E266" s="70">
        <f t="shared" si="37"/>
        <v>0</v>
      </c>
      <c r="F266" s="70">
        <f t="shared" si="37"/>
        <v>0</v>
      </c>
      <c r="G266" s="70">
        <f t="shared" si="37"/>
        <v>0</v>
      </c>
      <c r="H266" s="70">
        <f t="shared" si="37"/>
        <v>0</v>
      </c>
      <c r="I266" s="70">
        <f t="shared" si="37"/>
        <v>0</v>
      </c>
      <c r="J266" s="70">
        <f t="shared" si="37"/>
        <v>0</v>
      </c>
      <c r="K266" s="68"/>
      <c r="L266" s="68"/>
      <c r="M266" s="68"/>
      <c r="N266" s="68"/>
      <c r="O266" s="68"/>
      <c r="P266" s="68"/>
      <c r="Q266" s="68"/>
      <c r="R266" s="68"/>
      <c r="S266" s="68"/>
      <c r="T266" s="68"/>
      <c r="U266" s="68"/>
      <c r="V266" s="68"/>
      <c r="W266" s="68"/>
    </row>
    <row r="267" spans="1:23">
      <c r="A267" s="69" t="s">
        <v>193</v>
      </c>
      <c r="B267" s="69"/>
      <c r="C267" s="159"/>
      <c r="D267" s="70">
        <f t="shared" ref="D267:J267" si="38">$B$267*$C$267*12*D124</f>
        <v>0</v>
      </c>
      <c r="E267" s="70">
        <f t="shared" si="38"/>
        <v>0</v>
      </c>
      <c r="F267" s="70">
        <f t="shared" si="38"/>
        <v>0</v>
      </c>
      <c r="G267" s="70">
        <f t="shared" si="38"/>
        <v>0</v>
      </c>
      <c r="H267" s="70">
        <f t="shared" si="38"/>
        <v>0</v>
      </c>
      <c r="I267" s="70">
        <f t="shared" si="38"/>
        <v>0</v>
      </c>
      <c r="J267" s="70">
        <f t="shared" si="38"/>
        <v>0</v>
      </c>
      <c r="K267" s="68"/>
      <c r="L267" s="68"/>
      <c r="M267" s="68"/>
      <c r="N267" s="68"/>
      <c r="O267" s="68"/>
      <c r="P267" s="68"/>
      <c r="Q267" s="68"/>
      <c r="R267" s="68"/>
      <c r="S267" s="68"/>
      <c r="T267" s="68"/>
      <c r="U267" s="68"/>
      <c r="V267" s="68"/>
      <c r="W267" s="68"/>
    </row>
    <row r="268" spans="1:23">
      <c r="A268" s="69" t="s">
        <v>332</v>
      </c>
      <c r="B268" s="69"/>
      <c r="C268" s="159"/>
      <c r="D268" s="70">
        <f t="shared" ref="D268:J268" si="39">$B$268*$C$268*D124</f>
        <v>0</v>
      </c>
      <c r="E268" s="70">
        <f t="shared" si="39"/>
        <v>0</v>
      </c>
      <c r="F268" s="70">
        <f t="shared" si="39"/>
        <v>0</v>
      </c>
      <c r="G268" s="70">
        <f t="shared" si="39"/>
        <v>0</v>
      </c>
      <c r="H268" s="70">
        <f t="shared" si="39"/>
        <v>0</v>
      </c>
      <c r="I268" s="70">
        <f t="shared" si="39"/>
        <v>0</v>
      </c>
      <c r="J268" s="70">
        <f t="shared" si="39"/>
        <v>0</v>
      </c>
      <c r="K268" s="68"/>
      <c r="L268" s="68"/>
      <c r="M268" s="68"/>
      <c r="N268" s="68"/>
      <c r="O268" s="68"/>
      <c r="P268" s="68"/>
      <c r="Q268" s="68"/>
      <c r="R268" s="68"/>
      <c r="S268" s="68"/>
      <c r="T268" s="68"/>
      <c r="U268" s="68"/>
      <c r="V268" s="68"/>
      <c r="W268" s="68"/>
    </row>
    <row r="269" spans="1:23" hidden="1">
      <c r="A269" s="69"/>
      <c r="B269" s="69"/>
      <c r="C269" s="159"/>
      <c r="D269" s="70"/>
      <c r="E269" s="70"/>
      <c r="F269" s="70"/>
      <c r="G269" s="70"/>
      <c r="H269" s="70"/>
      <c r="I269" s="70"/>
      <c r="J269" s="70"/>
      <c r="K269" s="68"/>
      <c r="L269" s="68"/>
      <c r="M269" s="68"/>
      <c r="N269" s="68"/>
      <c r="O269" s="68"/>
      <c r="P269" s="68"/>
      <c r="Q269" s="68"/>
      <c r="R269" s="68"/>
      <c r="S269" s="68"/>
      <c r="T269" s="68"/>
      <c r="U269" s="68"/>
      <c r="V269" s="68"/>
      <c r="W269" s="68"/>
    </row>
    <row r="270" spans="1:23" hidden="1">
      <c r="A270" s="69"/>
      <c r="B270" s="69"/>
      <c r="C270" s="159"/>
      <c r="D270" s="70"/>
      <c r="E270" s="70"/>
      <c r="F270" s="70"/>
      <c r="G270" s="70"/>
      <c r="H270" s="70"/>
      <c r="I270" s="70"/>
      <c r="J270" s="70"/>
      <c r="K270" s="68"/>
      <c r="L270" s="68"/>
      <c r="M270" s="68"/>
      <c r="N270" s="68"/>
      <c r="O270" s="68"/>
      <c r="P270" s="68"/>
      <c r="Q270" s="68"/>
      <c r="R270" s="68"/>
      <c r="S270" s="68"/>
      <c r="T270" s="68"/>
      <c r="U270" s="68"/>
      <c r="V270" s="68"/>
      <c r="W270" s="68"/>
    </row>
    <row r="271" spans="1:23" hidden="1">
      <c r="A271" s="69"/>
      <c r="B271" s="69"/>
      <c r="C271" s="159"/>
      <c r="D271" s="70"/>
      <c r="E271" s="70"/>
      <c r="F271" s="70"/>
      <c r="G271" s="70"/>
      <c r="H271" s="70"/>
      <c r="I271" s="70"/>
      <c r="J271" s="70"/>
      <c r="K271" s="68"/>
      <c r="L271" s="68"/>
      <c r="M271" s="68"/>
      <c r="N271" s="68"/>
      <c r="O271" s="68"/>
      <c r="P271" s="68"/>
      <c r="Q271" s="68"/>
      <c r="R271" s="68"/>
      <c r="S271" s="68"/>
      <c r="T271" s="68"/>
      <c r="U271" s="68"/>
      <c r="V271" s="68"/>
      <c r="W271" s="68"/>
    </row>
    <row r="272" spans="1:23" ht="5.25" customHeight="1">
      <c r="A272" s="69"/>
      <c r="B272" s="69"/>
      <c r="C272" s="159"/>
      <c r="D272" s="70"/>
      <c r="E272" s="70"/>
      <c r="F272" s="70"/>
      <c r="G272" s="70"/>
      <c r="H272" s="70"/>
      <c r="I272" s="70"/>
      <c r="J272" s="70"/>
      <c r="K272" s="68"/>
      <c r="L272" s="68"/>
      <c r="M272" s="68"/>
      <c r="N272" s="68"/>
      <c r="O272" s="68"/>
      <c r="P272" s="68"/>
      <c r="Q272" s="68"/>
      <c r="R272" s="68"/>
      <c r="S272" s="68"/>
      <c r="T272" s="68"/>
      <c r="U272" s="68"/>
      <c r="V272" s="68"/>
      <c r="W272" s="68"/>
    </row>
    <row r="273" spans="1:23">
      <c r="A273" s="71" t="s">
        <v>329</v>
      </c>
      <c r="B273" s="71"/>
      <c r="C273" s="580"/>
      <c r="D273" s="87">
        <f>SUM(D265:D272)</f>
        <v>0</v>
      </c>
      <c r="E273" s="87">
        <f t="shared" ref="E273:J273" si="40">SUM(E265:E272)</f>
        <v>0</v>
      </c>
      <c r="F273" s="87">
        <f t="shared" si="40"/>
        <v>0</v>
      </c>
      <c r="G273" s="87">
        <f t="shared" si="40"/>
        <v>0</v>
      </c>
      <c r="H273" s="87">
        <f t="shared" si="40"/>
        <v>0</v>
      </c>
      <c r="I273" s="87">
        <f t="shared" si="40"/>
        <v>0</v>
      </c>
      <c r="J273" s="87">
        <f t="shared" si="40"/>
        <v>0</v>
      </c>
      <c r="K273" s="68"/>
      <c r="L273" s="68"/>
      <c r="M273" s="68"/>
      <c r="N273" s="68"/>
      <c r="O273" s="68"/>
      <c r="P273" s="68"/>
      <c r="Q273" s="68"/>
      <c r="R273" s="68"/>
      <c r="S273" s="68"/>
      <c r="T273" s="68"/>
      <c r="U273" s="68"/>
      <c r="V273" s="68"/>
      <c r="W273" s="68"/>
    </row>
    <row r="274" spans="1:23">
      <c r="A274" s="160" t="s">
        <v>135</v>
      </c>
      <c r="B274" s="160"/>
      <c r="C274" s="588"/>
      <c r="D274" s="87">
        <f t="shared" ref="D274:J274" si="41">D262+D273</f>
        <v>0</v>
      </c>
      <c r="E274" s="87">
        <f t="shared" si="41"/>
        <v>0</v>
      </c>
      <c r="F274" s="87">
        <f t="shared" si="41"/>
        <v>0</v>
      </c>
      <c r="G274" s="87">
        <f t="shared" si="41"/>
        <v>0</v>
      </c>
      <c r="H274" s="87">
        <f t="shared" si="41"/>
        <v>0</v>
      </c>
      <c r="I274" s="87">
        <f t="shared" si="41"/>
        <v>0</v>
      </c>
      <c r="J274" s="87">
        <f t="shared" si="41"/>
        <v>0</v>
      </c>
      <c r="K274" s="68"/>
      <c r="L274" s="68"/>
      <c r="M274" s="68"/>
      <c r="N274" s="68"/>
      <c r="O274" s="68"/>
      <c r="P274" s="68"/>
      <c r="Q274" s="68"/>
      <c r="R274" s="68"/>
      <c r="S274" s="68"/>
      <c r="T274" s="68"/>
      <c r="U274" s="68"/>
      <c r="V274" s="68"/>
      <c r="W274" s="68"/>
    </row>
    <row r="275" spans="1:23" ht="5.25" customHeight="1">
      <c r="A275" s="69"/>
      <c r="B275" s="69"/>
      <c r="C275" s="70"/>
      <c r="D275" s="70"/>
      <c r="E275" s="70"/>
      <c r="F275" s="70"/>
      <c r="G275" s="70"/>
      <c r="H275" s="70"/>
      <c r="I275" s="70"/>
      <c r="J275" s="70"/>
      <c r="K275" s="68"/>
      <c r="L275" s="68"/>
      <c r="M275" s="68"/>
      <c r="N275" s="68"/>
      <c r="O275" s="68"/>
      <c r="P275" s="68"/>
      <c r="Q275" s="68"/>
      <c r="R275" s="68"/>
      <c r="S275" s="68"/>
      <c r="T275" s="68"/>
      <c r="U275" s="68"/>
      <c r="V275" s="68"/>
      <c r="W275" s="68"/>
    </row>
    <row r="276" spans="1:23">
      <c r="A276" s="160" t="s">
        <v>7</v>
      </c>
      <c r="B276" s="160"/>
      <c r="C276" s="168"/>
      <c r="D276" s="87">
        <f t="shared" ref="D276:J276" si="42">D191-D274</f>
        <v>0</v>
      </c>
      <c r="E276" s="87">
        <f t="shared" si="42"/>
        <v>0</v>
      </c>
      <c r="F276" s="87">
        <f t="shared" si="42"/>
        <v>0</v>
      </c>
      <c r="G276" s="87">
        <f t="shared" si="42"/>
        <v>0</v>
      </c>
      <c r="H276" s="87">
        <f t="shared" si="42"/>
        <v>0</v>
      </c>
      <c r="I276" s="87">
        <f t="shared" si="42"/>
        <v>0</v>
      </c>
      <c r="J276" s="87">
        <f t="shared" si="42"/>
        <v>0</v>
      </c>
      <c r="K276" s="68"/>
      <c r="L276" s="68"/>
      <c r="M276" s="68"/>
      <c r="N276" s="68"/>
      <c r="O276" s="68"/>
      <c r="P276" s="68"/>
      <c r="Q276" s="68"/>
      <c r="R276" s="68"/>
      <c r="S276" s="68"/>
      <c r="T276" s="68"/>
      <c r="U276" s="68"/>
      <c r="V276" s="68"/>
      <c r="W276" s="68"/>
    </row>
    <row r="277" spans="1:23" ht="5.25" customHeight="1">
      <c r="A277" s="88"/>
      <c r="B277" s="88"/>
      <c r="C277" s="88"/>
      <c r="D277" s="68"/>
      <c r="E277" s="68"/>
      <c r="F277" s="68"/>
      <c r="G277" s="68"/>
      <c r="H277" s="68"/>
      <c r="I277" s="68"/>
      <c r="J277" s="68"/>
      <c r="K277" s="68"/>
      <c r="L277" s="68"/>
      <c r="M277" s="68"/>
      <c r="N277" s="68"/>
      <c r="O277" s="68"/>
      <c r="P277" s="68"/>
      <c r="Q277" s="68"/>
      <c r="R277" s="68"/>
      <c r="S277" s="68"/>
      <c r="T277" s="68"/>
      <c r="U277" s="68"/>
      <c r="V277" s="68"/>
      <c r="W277" s="68"/>
    </row>
    <row r="278" spans="1:23" ht="6.75" customHeight="1">
      <c r="A278" s="68"/>
      <c r="B278" s="68"/>
      <c r="C278" s="68"/>
      <c r="D278" s="68"/>
      <c r="E278" s="68"/>
      <c r="F278" s="68"/>
      <c r="G278" s="68"/>
      <c r="H278" s="68"/>
      <c r="I278" s="68"/>
      <c r="J278" s="68"/>
      <c r="K278" s="68"/>
      <c r="L278" s="68"/>
      <c r="M278" s="68"/>
      <c r="N278" s="68"/>
      <c r="O278" s="68"/>
      <c r="P278" s="68"/>
      <c r="Q278" s="68"/>
      <c r="R278" s="68"/>
      <c r="S278" s="68"/>
      <c r="T278" s="68"/>
      <c r="U278" s="68"/>
      <c r="V278" s="68"/>
      <c r="W278" s="68"/>
    </row>
    <row r="279" spans="1:23">
      <c r="A279" s="1073" t="s">
        <v>422</v>
      </c>
      <c r="B279" s="1073"/>
      <c r="C279" s="1073"/>
      <c r="D279" s="1073"/>
      <c r="E279" s="1073"/>
      <c r="F279" s="1073"/>
      <c r="G279" s="1073"/>
      <c r="H279" s="1073"/>
      <c r="I279" s="1073"/>
      <c r="J279" s="1073"/>
    </row>
    <row r="281" spans="1:23">
      <c r="A281" t="s">
        <v>531</v>
      </c>
    </row>
    <row r="282" spans="1:23">
      <c r="A282">
        <v>1</v>
      </c>
      <c r="B282" t="s">
        <v>544</v>
      </c>
    </row>
    <row r="283" spans="1:23">
      <c r="A283">
        <v>2</v>
      </c>
      <c r="B283" t="s">
        <v>545</v>
      </c>
    </row>
    <row r="284" spans="1:23">
      <c r="A284">
        <v>3</v>
      </c>
      <c r="B284" s="68" t="s">
        <v>572</v>
      </c>
    </row>
  </sheetData>
  <mergeCells count="4">
    <mergeCell ref="A122:J122"/>
    <mergeCell ref="A279:J279"/>
    <mergeCell ref="A3:J3"/>
    <mergeCell ref="A2:J2"/>
  </mergeCells>
  <pageMargins left="1" right="0.7" top="1" bottom="0.75" header="0.3" footer="0.3"/>
  <pageSetup scale="62" orientation="landscape" r:id="rId1"/>
  <rowBreaks count="2" manualBreakCount="2">
    <brk id="121" max="9" man="1"/>
    <brk id="262" max="9" man="1"/>
  </rowBreaks>
  <colBreaks count="1" manualBreakCount="1">
    <brk id="1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9"/>
  <sheetViews>
    <sheetView showGridLines="0" view="pageBreakPreview" zoomScaleSheetLayoutView="100" workbookViewId="0">
      <selection activeCell="G17" sqref="G17"/>
    </sheetView>
  </sheetViews>
  <sheetFormatPr defaultRowHeight="12.75"/>
  <cols>
    <col min="1" max="1" width="9" style="623"/>
    <col min="2" max="2" width="31.28515625" style="594" customWidth="1"/>
    <col min="3" max="3" width="12" style="594" customWidth="1"/>
    <col min="4" max="4" width="9.28515625" style="594" customWidth="1"/>
    <col min="5" max="5" width="9.140625" style="594" customWidth="1"/>
    <col min="6" max="257" width="9" style="594"/>
    <col min="258" max="258" width="31.28515625" style="594" customWidth="1"/>
    <col min="259" max="259" width="12" style="594" customWidth="1"/>
    <col min="260" max="260" width="9.28515625" style="594" customWidth="1"/>
    <col min="261" max="261" width="9.140625" style="594" customWidth="1"/>
    <col min="262" max="513" width="9" style="594"/>
    <col min="514" max="514" width="31.28515625" style="594" customWidth="1"/>
    <col min="515" max="515" width="12" style="594" customWidth="1"/>
    <col min="516" max="516" width="9.28515625" style="594" customWidth="1"/>
    <col min="517" max="517" width="9.140625" style="594" customWidth="1"/>
    <col min="518" max="769" width="9" style="594"/>
    <col min="770" max="770" width="31.28515625" style="594" customWidth="1"/>
    <col min="771" max="771" width="12" style="594" customWidth="1"/>
    <col min="772" max="772" width="9.28515625" style="594" customWidth="1"/>
    <col min="773" max="773" width="9.140625" style="594" customWidth="1"/>
    <col min="774" max="1025" width="9" style="594"/>
    <col min="1026" max="1026" width="31.28515625" style="594" customWidth="1"/>
    <col min="1027" max="1027" width="12" style="594" customWidth="1"/>
    <col min="1028" max="1028" width="9.28515625" style="594" customWidth="1"/>
    <col min="1029" max="1029" width="9.140625" style="594" customWidth="1"/>
    <col min="1030" max="1281" width="9" style="594"/>
    <col min="1282" max="1282" width="31.28515625" style="594" customWidth="1"/>
    <col min="1283" max="1283" width="12" style="594" customWidth="1"/>
    <col min="1284" max="1284" width="9.28515625" style="594" customWidth="1"/>
    <col min="1285" max="1285" width="9.140625" style="594" customWidth="1"/>
    <col min="1286" max="1537" width="9" style="594"/>
    <col min="1538" max="1538" width="31.28515625" style="594" customWidth="1"/>
    <col min="1539" max="1539" width="12" style="594" customWidth="1"/>
    <col min="1540" max="1540" width="9.28515625" style="594" customWidth="1"/>
    <col min="1541" max="1541" width="9.140625" style="594" customWidth="1"/>
    <col min="1542" max="1793" width="9" style="594"/>
    <col min="1794" max="1794" width="31.28515625" style="594" customWidth="1"/>
    <col min="1795" max="1795" width="12" style="594" customWidth="1"/>
    <col min="1796" max="1796" width="9.28515625" style="594" customWidth="1"/>
    <col min="1797" max="1797" width="9.140625" style="594" customWidth="1"/>
    <col min="1798" max="2049" width="9" style="594"/>
    <col min="2050" max="2050" width="31.28515625" style="594" customWidth="1"/>
    <col min="2051" max="2051" width="12" style="594" customWidth="1"/>
    <col min="2052" max="2052" width="9.28515625" style="594" customWidth="1"/>
    <col min="2053" max="2053" width="9.140625" style="594" customWidth="1"/>
    <col min="2054" max="2305" width="9" style="594"/>
    <col min="2306" max="2306" width="31.28515625" style="594" customWidth="1"/>
    <col min="2307" max="2307" width="12" style="594" customWidth="1"/>
    <col min="2308" max="2308" width="9.28515625" style="594" customWidth="1"/>
    <col min="2309" max="2309" width="9.140625" style="594" customWidth="1"/>
    <col min="2310" max="2561" width="9" style="594"/>
    <col min="2562" max="2562" width="31.28515625" style="594" customWidth="1"/>
    <col min="2563" max="2563" width="12" style="594" customWidth="1"/>
    <col min="2564" max="2564" width="9.28515625" style="594" customWidth="1"/>
    <col min="2565" max="2565" width="9.140625" style="594" customWidth="1"/>
    <col min="2566" max="2817" width="9" style="594"/>
    <col min="2818" max="2818" width="31.28515625" style="594" customWidth="1"/>
    <col min="2819" max="2819" width="12" style="594" customWidth="1"/>
    <col min="2820" max="2820" width="9.28515625" style="594" customWidth="1"/>
    <col min="2821" max="2821" width="9.140625" style="594" customWidth="1"/>
    <col min="2822" max="3073" width="9" style="594"/>
    <col min="3074" max="3074" width="31.28515625" style="594" customWidth="1"/>
    <col min="3075" max="3075" width="12" style="594" customWidth="1"/>
    <col min="3076" max="3076" width="9.28515625" style="594" customWidth="1"/>
    <col min="3077" max="3077" width="9.140625" style="594" customWidth="1"/>
    <col min="3078" max="3329" width="9" style="594"/>
    <col min="3330" max="3330" width="31.28515625" style="594" customWidth="1"/>
    <col min="3331" max="3331" width="12" style="594" customWidth="1"/>
    <col min="3332" max="3332" width="9.28515625" style="594" customWidth="1"/>
    <col min="3333" max="3333" width="9.140625" style="594" customWidth="1"/>
    <col min="3334" max="3585" width="9" style="594"/>
    <col min="3586" max="3586" width="31.28515625" style="594" customWidth="1"/>
    <col min="3587" max="3587" width="12" style="594" customWidth="1"/>
    <col min="3588" max="3588" width="9.28515625" style="594" customWidth="1"/>
    <col min="3589" max="3589" width="9.140625" style="594" customWidth="1"/>
    <col min="3590" max="3841" width="9" style="594"/>
    <col min="3842" max="3842" width="31.28515625" style="594" customWidth="1"/>
    <col min="3843" max="3843" width="12" style="594" customWidth="1"/>
    <col min="3844" max="3844" width="9.28515625" style="594" customWidth="1"/>
    <col min="3845" max="3845" width="9.140625" style="594" customWidth="1"/>
    <col min="3846" max="4097" width="9" style="594"/>
    <col min="4098" max="4098" width="31.28515625" style="594" customWidth="1"/>
    <col min="4099" max="4099" width="12" style="594" customWidth="1"/>
    <col min="4100" max="4100" width="9.28515625" style="594" customWidth="1"/>
    <col min="4101" max="4101" width="9.140625" style="594" customWidth="1"/>
    <col min="4102" max="4353" width="9" style="594"/>
    <col min="4354" max="4354" width="31.28515625" style="594" customWidth="1"/>
    <col min="4355" max="4355" width="12" style="594" customWidth="1"/>
    <col min="4356" max="4356" width="9.28515625" style="594" customWidth="1"/>
    <col min="4357" max="4357" width="9.140625" style="594" customWidth="1"/>
    <col min="4358" max="4609" width="9" style="594"/>
    <col min="4610" max="4610" width="31.28515625" style="594" customWidth="1"/>
    <col min="4611" max="4611" width="12" style="594" customWidth="1"/>
    <col min="4612" max="4612" width="9.28515625" style="594" customWidth="1"/>
    <col min="4613" max="4613" width="9.140625" style="594" customWidth="1"/>
    <col min="4614" max="4865" width="9" style="594"/>
    <col min="4866" max="4866" width="31.28515625" style="594" customWidth="1"/>
    <col min="4867" max="4867" width="12" style="594" customWidth="1"/>
    <col min="4868" max="4868" width="9.28515625" style="594" customWidth="1"/>
    <col min="4869" max="4869" width="9.140625" style="594" customWidth="1"/>
    <col min="4870" max="5121" width="9" style="594"/>
    <col min="5122" max="5122" width="31.28515625" style="594" customWidth="1"/>
    <col min="5123" max="5123" width="12" style="594" customWidth="1"/>
    <col min="5124" max="5124" width="9.28515625" style="594" customWidth="1"/>
    <col min="5125" max="5125" width="9.140625" style="594" customWidth="1"/>
    <col min="5126" max="5377" width="9" style="594"/>
    <col min="5378" max="5378" width="31.28515625" style="594" customWidth="1"/>
    <col min="5379" max="5379" width="12" style="594" customWidth="1"/>
    <col min="5380" max="5380" width="9.28515625" style="594" customWidth="1"/>
    <col min="5381" max="5381" width="9.140625" style="594" customWidth="1"/>
    <col min="5382" max="5633" width="9" style="594"/>
    <col min="5634" max="5634" width="31.28515625" style="594" customWidth="1"/>
    <col min="5635" max="5635" width="12" style="594" customWidth="1"/>
    <col min="5636" max="5636" width="9.28515625" style="594" customWidth="1"/>
    <col min="5637" max="5637" width="9.140625" style="594" customWidth="1"/>
    <col min="5638" max="5889" width="9" style="594"/>
    <col min="5890" max="5890" width="31.28515625" style="594" customWidth="1"/>
    <col min="5891" max="5891" width="12" style="594" customWidth="1"/>
    <col min="5892" max="5892" width="9.28515625" style="594" customWidth="1"/>
    <col min="5893" max="5893" width="9.140625" style="594" customWidth="1"/>
    <col min="5894" max="6145" width="9" style="594"/>
    <col min="6146" max="6146" width="31.28515625" style="594" customWidth="1"/>
    <col min="6147" max="6147" width="12" style="594" customWidth="1"/>
    <col min="6148" max="6148" width="9.28515625" style="594" customWidth="1"/>
    <col min="6149" max="6149" width="9.140625" style="594" customWidth="1"/>
    <col min="6150" max="6401" width="9" style="594"/>
    <col min="6402" max="6402" width="31.28515625" style="594" customWidth="1"/>
    <col min="6403" max="6403" width="12" style="594" customWidth="1"/>
    <col min="6404" max="6404" width="9.28515625" style="594" customWidth="1"/>
    <col min="6405" max="6405" width="9.140625" style="594" customWidth="1"/>
    <col min="6406" max="6657" width="9" style="594"/>
    <col min="6658" max="6658" width="31.28515625" style="594" customWidth="1"/>
    <col min="6659" max="6659" width="12" style="594" customWidth="1"/>
    <col min="6660" max="6660" width="9.28515625" style="594" customWidth="1"/>
    <col min="6661" max="6661" width="9.140625" style="594" customWidth="1"/>
    <col min="6662" max="6913" width="9" style="594"/>
    <col min="6914" max="6914" width="31.28515625" style="594" customWidth="1"/>
    <col min="6915" max="6915" width="12" style="594" customWidth="1"/>
    <col min="6916" max="6916" width="9.28515625" style="594" customWidth="1"/>
    <col min="6917" max="6917" width="9.140625" style="594" customWidth="1"/>
    <col min="6918" max="7169" width="9" style="594"/>
    <col min="7170" max="7170" width="31.28515625" style="594" customWidth="1"/>
    <col min="7171" max="7171" width="12" style="594" customWidth="1"/>
    <col min="7172" max="7172" width="9.28515625" style="594" customWidth="1"/>
    <col min="7173" max="7173" width="9.140625" style="594" customWidth="1"/>
    <col min="7174" max="7425" width="9" style="594"/>
    <col min="7426" max="7426" width="31.28515625" style="594" customWidth="1"/>
    <col min="7427" max="7427" width="12" style="594" customWidth="1"/>
    <col min="7428" max="7428" width="9.28515625" style="594" customWidth="1"/>
    <col min="7429" max="7429" width="9.140625" style="594" customWidth="1"/>
    <col min="7430" max="7681" width="9" style="594"/>
    <col min="7682" max="7682" width="31.28515625" style="594" customWidth="1"/>
    <col min="7683" max="7683" width="12" style="594" customWidth="1"/>
    <col min="7684" max="7684" width="9.28515625" style="594" customWidth="1"/>
    <col min="7685" max="7685" width="9.140625" style="594" customWidth="1"/>
    <col min="7686" max="7937" width="9" style="594"/>
    <col min="7938" max="7938" width="31.28515625" style="594" customWidth="1"/>
    <col min="7939" max="7939" width="12" style="594" customWidth="1"/>
    <col min="7940" max="7940" width="9.28515625" style="594" customWidth="1"/>
    <col min="7941" max="7941" width="9.140625" style="594" customWidth="1"/>
    <col min="7942" max="8193" width="9" style="594"/>
    <col min="8194" max="8194" width="31.28515625" style="594" customWidth="1"/>
    <col min="8195" max="8195" width="12" style="594" customWidth="1"/>
    <col min="8196" max="8196" width="9.28515625" style="594" customWidth="1"/>
    <col min="8197" max="8197" width="9.140625" style="594" customWidth="1"/>
    <col min="8198" max="8449" width="9" style="594"/>
    <col min="8450" max="8450" width="31.28515625" style="594" customWidth="1"/>
    <col min="8451" max="8451" width="12" style="594" customWidth="1"/>
    <col min="8452" max="8452" width="9.28515625" style="594" customWidth="1"/>
    <col min="8453" max="8453" width="9.140625" style="594" customWidth="1"/>
    <col min="8454" max="8705" width="9" style="594"/>
    <col min="8706" max="8706" width="31.28515625" style="594" customWidth="1"/>
    <col min="8707" max="8707" width="12" style="594" customWidth="1"/>
    <col min="8708" max="8708" width="9.28515625" style="594" customWidth="1"/>
    <col min="8709" max="8709" width="9.140625" style="594" customWidth="1"/>
    <col min="8710" max="8961" width="9" style="594"/>
    <col min="8962" max="8962" width="31.28515625" style="594" customWidth="1"/>
    <col min="8963" max="8963" width="12" style="594" customWidth="1"/>
    <col min="8964" max="8964" width="9.28515625" style="594" customWidth="1"/>
    <col min="8965" max="8965" width="9.140625" style="594" customWidth="1"/>
    <col min="8966" max="9217" width="9" style="594"/>
    <col min="9218" max="9218" width="31.28515625" style="594" customWidth="1"/>
    <col min="9219" max="9219" width="12" style="594" customWidth="1"/>
    <col min="9220" max="9220" width="9.28515625" style="594" customWidth="1"/>
    <col min="9221" max="9221" width="9.140625" style="594" customWidth="1"/>
    <col min="9222" max="9473" width="9" style="594"/>
    <col min="9474" max="9474" width="31.28515625" style="594" customWidth="1"/>
    <col min="9475" max="9475" width="12" style="594" customWidth="1"/>
    <col min="9476" max="9476" width="9.28515625" style="594" customWidth="1"/>
    <col min="9477" max="9477" width="9.140625" style="594" customWidth="1"/>
    <col min="9478" max="9729" width="9" style="594"/>
    <col min="9730" max="9730" width="31.28515625" style="594" customWidth="1"/>
    <col min="9731" max="9731" width="12" style="594" customWidth="1"/>
    <col min="9732" max="9732" width="9.28515625" style="594" customWidth="1"/>
    <col min="9733" max="9733" width="9.140625" style="594" customWidth="1"/>
    <col min="9734" max="9985" width="9" style="594"/>
    <col min="9986" max="9986" width="31.28515625" style="594" customWidth="1"/>
    <col min="9987" max="9987" width="12" style="594" customWidth="1"/>
    <col min="9988" max="9988" width="9.28515625" style="594" customWidth="1"/>
    <col min="9989" max="9989" width="9.140625" style="594" customWidth="1"/>
    <col min="9990" max="10241" width="9" style="594"/>
    <col min="10242" max="10242" width="31.28515625" style="594" customWidth="1"/>
    <col min="10243" max="10243" width="12" style="594" customWidth="1"/>
    <col min="10244" max="10244" width="9.28515625" style="594" customWidth="1"/>
    <col min="10245" max="10245" width="9.140625" style="594" customWidth="1"/>
    <col min="10246" max="10497" width="9" style="594"/>
    <col min="10498" max="10498" width="31.28515625" style="594" customWidth="1"/>
    <col min="10499" max="10499" width="12" style="594" customWidth="1"/>
    <col min="10500" max="10500" width="9.28515625" style="594" customWidth="1"/>
    <col min="10501" max="10501" width="9.140625" style="594" customWidth="1"/>
    <col min="10502" max="10753" width="9" style="594"/>
    <col min="10754" max="10754" width="31.28515625" style="594" customWidth="1"/>
    <col min="10755" max="10755" width="12" style="594" customWidth="1"/>
    <col min="10756" max="10756" width="9.28515625" style="594" customWidth="1"/>
    <col min="10757" max="10757" width="9.140625" style="594" customWidth="1"/>
    <col min="10758" max="11009" width="9" style="594"/>
    <col min="11010" max="11010" width="31.28515625" style="594" customWidth="1"/>
    <col min="11011" max="11011" width="12" style="594" customWidth="1"/>
    <col min="11012" max="11012" width="9.28515625" style="594" customWidth="1"/>
    <col min="11013" max="11013" width="9.140625" style="594" customWidth="1"/>
    <col min="11014" max="11265" width="9" style="594"/>
    <col min="11266" max="11266" width="31.28515625" style="594" customWidth="1"/>
    <col min="11267" max="11267" width="12" style="594" customWidth="1"/>
    <col min="11268" max="11268" width="9.28515625" style="594" customWidth="1"/>
    <col min="11269" max="11269" width="9.140625" style="594" customWidth="1"/>
    <col min="11270" max="11521" width="9" style="594"/>
    <col min="11522" max="11522" width="31.28515625" style="594" customWidth="1"/>
    <col min="11523" max="11523" width="12" style="594" customWidth="1"/>
    <col min="11524" max="11524" width="9.28515625" style="594" customWidth="1"/>
    <col min="11525" max="11525" width="9.140625" style="594" customWidth="1"/>
    <col min="11526" max="11777" width="9" style="594"/>
    <col min="11778" max="11778" width="31.28515625" style="594" customWidth="1"/>
    <col min="11779" max="11779" width="12" style="594" customWidth="1"/>
    <col min="11780" max="11780" width="9.28515625" style="594" customWidth="1"/>
    <col min="11781" max="11781" width="9.140625" style="594" customWidth="1"/>
    <col min="11782" max="12033" width="9" style="594"/>
    <col min="12034" max="12034" width="31.28515625" style="594" customWidth="1"/>
    <col min="12035" max="12035" width="12" style="594" customWidth="1"/>
    <col min="12036" max="12036" width="9.28515625" style="594" customWidth="1"/>
    <col min="12037" max="12037" width="9.140625" style="594" customWidth="1"/>
    <col min="12038" max="12289" width="9" style="594"/>
    <col min="12290" max="12290" width="31.28515625" style="594" customWidth="1"/>
    <col min="12291" max="12291" width="12" style="594" customWidth="1"/>
    <col min="12292" max="12292" width="9.28515625" style="594" customWidth="1"/>
    <col min="12293" max="12293" width="9.140625" style="594" customWidth="1"/>
    <col min="12294" max="12545" width="9" style="594"/>
    <col min="12546" max="12546" width="31.28515625" style="594" customWidth="1"/>
    <col min="12547" max="12547" width="12" style="594" customWidth="1"/>
    <col min="12548" max="12548" width="9.28515625" style="594" customWidth="1"/>
    <col min="12549" max="12549" width="9.140625" style="594" customWidth="1"/>
    <col min="12550" max="12801" width="9" style="594"/>
    <col min="12802" max="12802" width="31.28515625" style="594" customWidth="1"/>
    <col min="12803" max="12803" width="12" style="594" customWidth="1"/>
    <col min="12804" max="12804" width="9.28515625" style="594" customWidth="1"/>
    <col min="12805" max="12805" width="9.140625" style="594" customWidth="1"/>
    <col min="12806" max="13057" width="9" style="594"/>
    <col min="13058" max="13058" width="31.28515625" style="594" customWidth="1"/>
    <col min="13059" max="13059" width="12" style="594" customWidth="1"/>
    <col min="13060" max="13060" width="9.28515625" style="594" customWidth="1"/>
    <col min="13061" max="13061" width="9.140625" style="594" customWidth="1"/>
    <col min="13062" max="13313" width="9" style="594"/>
    <col min="13314" max="13314" width="31.28515625" style="594" customWidth="1"/>
    <col min="13315" max="13315" width="12" style="594" customWidth="1"/>
    <col min="13316" max="13316" width="9.28515625" style="594" customWidth="1"/>
    <col min="13317" max="13317" width="9.140625" style="594" customWidth="1"/>
    <col min="13318" max="13569" width="9" style="594"/>
    <col min="13570" max="13570" width="31.28515625" style="594" customWidth="1"/>
    <col min="13571" max="13571" width="12" style="594" customWidth="1"/>
    <col min="13572" max="13572" width="9.28515625" style="594" customWidth="1"/>
    <col min="13573" max="13573" width="9.140625" style="594" customWidth="1"/>
    <col min="13574" max="13825" width="9" style="594"/>
    <col min="13826" max="13826" width="31.28515625" style="594" customWidth="1"/>
    <col min="13827" max="13827" width="12" style="594" customWidth="1"/>
    <col min="13828" max="13828" width="9.28515625" style="594" customWidth="1"/>
    <col min="13829" max="13829" width="9.140625" style="594" customWidth="1"/>
    <col min="13830" max="14081" width="9" style="594"/>
    <col min="14082" max="14082" width="31.28515625" style="594" customWidth="1"/>
    <col min="14083" max="14083" width="12" style="594" customWidth="1"/>
    <col min="14084" max="14084" width="9.28515625" style="594" customWidth="1"/>
    <col min="14085" max="14085" width="9.140625" style="594" customWidth="1"/>
    <col min="14086" max="14337" width="9" style="594"/>
    <col min="14338" max="14338" width="31.28515625" style="594" customWidth="1"/>
    <col min="14339" max="14339" width="12" style="594" customWidth="1"/>
    <col min="14340" max="14340" width="9.28515625" style="594" customWidth="1"/>
    <col min="14341" max="14341" width="9.140625" style="594" customWidth="1"/>
    <col min="14342" max="14593" width="9" style="594"/>
    <col min="14594" max="14594" width="31.28515625" style="594" customWidth="1"/>
    <col min="14595" max="14595" width="12" style="594" customWidth="1"/>
    <col min="14596" max="14596" width="9.28515625" style="594" customWidth="1"/>
    <col min="14597" max="14597" width="9.140625" style="594" customWidth="1"/>
    <col min="14598" max="14849" width="9" style="594"/>
    <col min="14850" max="14850" width="31.28515625" style="594" customWidth="1"/>
    <col min="14851" max="14851" width="12" style="594" customWidth="1"/>
    <col min="14852" max="14852" width="9.28515625" style="594" customWidth="1"/>
    <col min="14853" max="14853" width="9.140625" style="594" customWidth="1"/>
    <col min="14854" max="15105" width="9" style="594"/>
    <col min="15106" max="15106" width="31.28515625" style="594" customWidth="1"/>
    <col min="15107" max="15107" width="12" style="594" customWidth="1"/>
    <col min="15108" max="15108" width="9.28515625" style="594" customWidth="1"/>
    <col min="15109" max="15109" width="9.140625" style="594" customWidth="1"/>
    <col min="15110" max="15361" width="9" style="594"/>
    <col min="15362" max="15362" width="31.28515625" style="594" customWidth="1"/>
    <col min="15363" max="15363" width="12" style="594" customWidth="1"/>
    <col min="15364" max="15364" width="9.28515625" style="594" customWidth="1"/>
    <col min="15365" max="15365" width="9.140625" style="594" customWidth="1"/>
    <col min="15366" max="15617" width="9" style="594"/>
    <col min="15618" max="15618" width="31.28515625" style="594" customWidth="1"/>
    <col min="15619" max="15619" width="12" style="594" customWidth="1"/>
    <col min="15620" max="15620" width="9.28515625" style="594" customWidth="1"/>
    <col min="15621" max="15621" width="9.140625" style="594" customWidth="1"/>
    <col min="15622" max="15873" width="9" style="594"/>
    <col min="15874" max="15874" width="31.28515625" style="594" customWidth="1"/>
    <col min="15875" max="15875" width="12" style="594" customWidth="1"/>
    <col min="15876" max="15876" width="9.28515625" style="594" customWidth="1"/>
    <col min="15877" max="15877" width="9.140625" style="594" customWidth="1"/>
    <col min="15878" max="16129" width="9" style="594"/>
    <col min="16130" max="16130" width="31.28515625" style="594" customWidth="1"/>
    <col min="16131" max="16131" width="12" style="594" customWidth="1"/>
    <col min="16132" max="16132" width="9.28515625" style="594" customWidth="1"/>
    <col min="16133" max="16133" width="9.140625" style="594" customWidth="1"/>
    <col min="16134" max="16384" width="9" style="594"/>
  </cols>
  <sheetData>
    <row r="2" spans="1:7">
      <c r="A2" s="1189" t="s">
        <v>1667</v>
      </c>
      <c r="B2" s="1189"/>
      <c r="C2" s="1189"/>
      <c r="D2" s="1189"/>
      <c r="E2" s="1189"/>
      <c r="G2" s="500" t="s">
        <v>1668</v>
      </c>
    </row>
    <row r="4" spans="1:7">
      <c r="A4" s="1189" t="s">
        <v>1669</v>
      </c>
      <c r="B4" s="1189"/>
      <c r="C4" s="1189"/>
      <c r="D4" s="1189"/>
      <c r="E4" s="1189"/>
    </row>
    <row r="5" spans="1:7">
      <c r="A5" s="595"/>
      <c r="B5" s="596"/>
      <c r="C5" s="596"/>
      <c r="D5" s="596"/>
      <c r="E5" s="597" t="s">
        <v>1670</v>
      </c>
    </row>
    <row r="6" spans="1:7" ht="35.1" customHeight="1">
      <c r="A6" s="598" t="s">
        <v>704</v>
      </c>
      <c r="B6" s="598" t="s">
        <v>1671</v>
      </c>
      <c r="C6" s="599" t="s">
        <v>1672</v>
      </c>
      <c r="D6" s="599" t="s">
        <v>1673</v>
      </c>
      <c r="E6" s="600" t="s">
        <v>720</v>
      </c>
    </row>
    <row r="7" spans="1:7" ht="20.100000000000001" customHeight="1">
      <c r="A7" s="601"/>
      <c r="B7" s="602"/>
      <c r="C7" s="603"/>
      <c r="D7" s="603"/>
      <c r="E7" s="604"/>
    </row>
    <row r="8" spans="1:7" ht="20.100000000000001" customHeight="1">
      <c r="A8" s="605" t="s">
        <v>1674</v>
      </c>
      <c r="B8" s="606" t="s">
        <v>1675</v>
      </c>
      <c r="C8" s="607"/>
      <c r="D8" s="607"/>
      <c r="E8" s="607"/>
    </row>
    <row r="9" spans="1:7" ht="20.100000000000001" customHeight="1">
      <c r="A9" s="608" t="s">
        <v>1676</v>
      </c>
      <c r="B9" s="607" t="s">
        <v>1677</v>
      </c>
      <c r="C9" s="607">
        <v>100</v>
      </c>
      <c r="D9" s="609">
        <f>(746*C9)/1000</f>
        <v>74.599999999999994</v>
      </c>
      <c r="E9" s="607"/>
    </row>
    <row r="10" spans="1:7" ht="20.100000000000001" customHeight="1">
      <c r="A10" s="608" t="s">
        <v>1678</v>
      </c>
      <c r="B10" s="607" t="s">
        <v>1679</v>
      </c>
      <c r="C10" s="607"/>
      <c r="D10" s="609">
        <v>40</v>
      </c>
      <c r="E10" s="607"/>
    </row>
    <row r="11" spans="1:7" ht="20.100000000000001" customHeight="1">
      <c r="A11" s="608" t="s">
        <v>1680</v>
      </c>
      <c r="B11" s="607" t="s">
        <v>1681</v>
      </c>
      <c r="C11" s="607"/>
      <c r="D11" s="610">
        <v>0.7</v>
      </c>
      <c r="E11" s="607"/>
    </row>
    <row r="12" spans="1:7" ht="20.100000000000001" customHeight="1">
      <c r="A12" s="608" t="s">
        <v>1682</v>
      </c>
      <c r="B12" s="607" t="s">
        <v>1683</v>
      </c>
      <c r="C12" s="607"/>
      <c r="D12" s="609">
        <v>18</v>
      </c>
      <c r="E12" s="607"/>
    </row>
    <row r="13" spans="1:7" ht="20.100000000000001" customHeight="1">
      <c r="A13" s="608" t="s">
        <v>1684</v>
      </c>
      <c r="B13" s="607" t="s">
        <v>1685</v>
      </c>
      <c r="C13" s="607"/>
      <c r="D13" s="609">
        <f>+D10*D11*D12</f>
        <v>504</v>
      </c>
      <c r="E13" s="607"/>
    </row>
    <row r="14" spans="1:7" ht="20.100000000000001" customHeight="1">
      <c r="A14" s="608" t="s">
        <v>1686</v>
      </c>
      <c r="B14" s="607" t="s">
        <v>1687</v>
      </c>
      <c r="C14" s="607"/>
      <c r="D14" s="611">
        <v>365</v>
      </c>
      <c r="E14" s="607"/>
    </row>
    <row r="15" spans="1:7" ht="20.100000000000001" customHeight="1">
      <c r="A15" s="608" t="s">
        <v>1688</v>
      </c>
      <c r="B15" s="607" t="s">
        <v>1689</v>
      </c>
      <c r="C15" s="607"/>
      <c r="D15" s="594">
        <f>+D13*D14</f>
        <v>183960</v>
      </c>
      <c r="E15" s="607"/>
    </row>
    <row r="16" spans="1:7" ht="20.100000000000001" customHeight="1">
      <c r="A16" s="608" t="s">
        <v>1690</v>
      </c>
      <c r="B16" s="607" t="s">
        <v>1691</v>
      </c>
      <c r="C16" s="607"/>
      <c r="D16" s="610">
        <v>0.03</v>
      </c>
      <c r="E16" s="612"/>
    </row>
    <row r="17" spans="1:5" ht="20.100000000000001" customHeight="1">
      <c r="A17" s="608"/>
      <c r="B17" s="607"/>
      <c r="C17" s="607"/>
      <c r="D17" s="607"/>
      <c r="E17" s="607"/>
    </row>
    <row r="18" spans="1:5" ht="30.75" customHeight="1">
      <c r="A18" s="605" t="s">
        <v>1692</v>
      </c>
      <c r="B18" s="606" t="s">
        <v>1693</v>
      </c>
      <c r="C18" s="613" t="s">
        <v>1694</v>
      </c>
      <c r="D18" s="613" t="s">
        <v>1695</v>
      </c>
      <c r="E18" s="613" t="s">
        <v>1696</v>
      </c>
    </row>
    <row r="19" spans="1:5" ht="20.100000000000001" customHeight="1">
      <c r="A19" s="608"/>
      <c r="B19" s="607" t="s">
        <v>1697</v>
      </c>
      <c r="C19" s="614">
        <v>0.75</v>
      </c>
      <c r="D19" s="614">
        <v>0.25</v>
      </c>
      <c r="E19" s="614">
        <f>+C19+D19</f>
        <v>1</v>
      </c>
    </row>
    <row r="20" spans="1:5" ht="20.100000000000001" customHeight="1">
      <c r="A20" s="615"/>
      <c r="B20" s="607" t="s">
        <v>1698</v>
      </c>
      <c r="C20" s="609">
        <f>+D15*C19</f>
        <v>137970</v>
      </c>
      <c r="D20" s="609">
        <f>+D15*D19</f>
        <v>45990</v>
      </c>
      <c r="E20" s="609">
        <f>+C20+D20</f>
        <v>183960</v>
      </c>
    </row>
    <row r="21" spans="1:5" ht="20.100000000000001" customHeight="1">
      <c r="A21" s="608"/>
      <c r="B21" s="607" t="s">
        <v>1699</v>
      </c>
      <c r="C21" s="612">
        <v>9</v>
      </c>
      <c r="D21" s="612">
        <v>6.5</v>
      </c>
      <c r="E21" s="607"/>
    </row>
    <row r="22" spans="1:5" ht="20.100000000000001" customHeight="1">
      <c r="A22" s="608"/>
      <c r="B22" s="607" t="s">
        <v>1700</v>
      </c>
      <c r="C22" s="612">
        <f>+C20*C21/100000</f>
        <v>12.417299999999999</v>
      </c>
      <c r="D22" s="612">
        <f>+D20*D21/100000</f>
        <v>2.98935</v>
      </c>
      <c r="E22" s="607"/>
    </row>
    <row r="23" spans="1:5" ht="20.100000000000001" customHeight="1">
      <c r="A23" s="608"/>
      <c r="B23" s="607"/>
      <c r="C23" s="614"/>
      <c r="D23" s="607"/>
      <c r="E23" s="607"/>
    </row>
    <row r="24" spans="1:5" ht="20.100000000000001" customHeight="1">
      <c r="A24" s="608"/>
      <c r="B24" s="607"/>
      <c r="C24" s="607"/>
      <c r="D24" s="607"/>
      <c r="E24" s="607"/>
    </row>
    <row r="25" spans="1:5" ht="24" customHeight="1">
      <c r="A25" s="608"/>
      <c r="B25" s="616" t="s">
        <v>1701</v>
      </c>
      <c r="C25" s="617"/>
      <c r="D25" s="617"/>
      <c r="E25" s="618">
        <f>C22+D22</f>
        <v>15.406649999999999</v>
      </c>
    </row>
    <row r="26" spans="1:5">
      <c r="A26" s="608"/>
      <c r="B26" s="607"/>
      <c r="C26" s="607"/>
      <c r="D26" s="607"/>
      <c r="E26" s="607"/>
    </row>
    <row r="28" spans="1:5" ht="15">
      <c r="A28" s="619" t="s">
        <v>1702</v>
      </c>
      <c r="B28" s="620"/>
    </row>
    <row r="29" spans="1:5" ht="15">
      <c r="A29" s="619"/>
      <c r="B29" s="620"/>
    </row>
    <row r="30" spans="1:5" ht="14.25">
      <c r="A30" s="594"/>
      <c r="B30" s="621" t="s">
        <v>11</v>
      </c>
      <c r="C30" s="622">
        <f>E25</f>
        <v>15.406649999999999</v>
      </c>
    </row>
    <row r="31" spans="1:5" ht="14.25">
      <c r="A31" s="594"/>
      <c r="B31" s="621" t="s">
        <v>12</v>
      </c>
      <c r="C31" s="622">
        <f>C30*(100%+D16)</f>
        <v>15.8688495</v>
      </c>
    </row>
    <row r="32" spans="1:5" ht="14.25">
      <c r="A32" s="594"/>
      <c r="B32" s="621" t="s">
        <v>13</v>
      </c>
      <c r="C32" s="622">
        <f>C31*(100%+D16)</f>
        <v>16.344914984999999</v>
      </c>
    </row>
    <row r="33" spans="1:3" ht="14.25">
      <c r="A33" s="594"/>
      <c r="B33" s="621" t="s">
        <v>14</v>
      </c>
      <c r="C33" s="622">
        <f>C32*(100%+D16)</f>
        <v>16.83526243455</v>
      </c>
    </row>
    <row r="34" spans="1:3" ht="14.25">
      <c r="A34" s="594"/>
      <c r="B34" s="621" t="s">
        <v>15</v>
      </c>
      <c r="C34" s="622">
        <f>C33*(100%+D16)</f>
        <v>17.340320307586499</v>
      </c>
    </row>
    <row r="35" spans="1:3" ht="14.25">
      <c r="A35" s="594"/>
      <c r="B35" s="621" t="s">
        <v>16</v>
      </c>
      <c r="C35" s="622">
        <f>C34*(100%+D16)</f>
        <v>17.860529916814095</v>
      </c>
    </row>
    <row r="36" spans="1:3" ht="14.25">
      <c r="A36" s="594"/>
      <c r="B36" s="621" t="s">
        <v>281</v>
      </c>
      <c r="C36" s="622">
        <f>C35*(100%+D16)</f>
        <v>18.396345814318519</v>
      </c>
    </row>
    <row r="37" spans="1:3" ht="14.25">
      <c r="A37" s="594"/>
      <c r="B37" s="621" t="s">
        <v>1703</v>
      </c>
      <c r="C37" s="622">
        <f>C36*(100%+D16)</f>
        <v>18.948236188748076</v>
      </c>
    </row>
    <row r="38" spans="1:3" ht="14.25">
      <c r="A38" s="594"/>
      <c r="B38" s="621" t="s">
        <v>1704</v>
      </c>
      <c r="C38" s="622">
        <f>C37*(100%+D16)</f>
        <v>19.516683274410518</v>
      </c>
    </row>
    <row r="39" spans="1:3" ht="14.25">
      <c r="A39" s="594"/>
      <c r="B39" s="621" t="s">
        <v>1705</v>
      </c>
      <c r="C39" s="622">
        <f>C38*(100%+D16)</f>
        <v>20.102183772642835</v>
      </c>
    </row>
  </sheetData>
  <mergeCells count="2">
    <mergeCell ref="A2:E2"/>
    <mergeCell ref="A4:E4"/>
  </mergeCells>
  <hyperlinks>
    <hyperlink ref="G2" location="'LIST OF ANN.'!D15" display="HOME"/>
  </hyperlinks>
  <pageMargins left="0.75" right="0.75" top="1" bottom="1" header="0.5" footer="0.5"/>
  <pageSetup paperSize="9" orientation="portrait" verticalDpi="300" r:id="rId1"/>
  <headerFooter alignWithMargins="0">
    <oddHeader>&amp;R&amp;8M/s: GURUKRIPA COLD STORAGE, WAREHOUSE AND LOGISTICS-JORA (JAISINGH NAGAR)</oddHeader>
    <oddFooter>&amp;RGoyal &amp;&amp; Associates</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79"/>
  <sheetViews>
    <sheetView view="pageBreakPreview" topLeftCell="A57" zoomScale="85" zoomScaleSheetLayoutView="85" workbookViewId="0">
      <selection activeCell="F131" sqref="F131"/>
    </sheetView>
  </sheetViews>
  <sheetFormatPr defaultRowHeight="15"/>
  <cols>
    <col min="1" max="1" width="7.28515625" customWidth="1"/>
    <col min="2" max="2" width="72.42578125" customWidth="1"/>
  </cols>
  <sheetData>
    <row r="2" spans="2:2" ht="26.25">
      <c r="B2" s="635" t="s">
        <v>1748</v>
      </c>
    </row>
    <row r="3" spans="2:2">
      <c r="B3" s="5" t="s">
        <v>1746</v>
      </c>
    </row>
    <row r="4" spans="2:2" ht="45">
      <c r="B4" s="632" t="s">
        <v>1790</v>
      </c>
    </row>
    <row r="5" spans="2:2" ht="10.5" customHeight="1">
      <c r="B5" s="626"/>
    </row>
    <row r="6" spans="2:2">
      <c r="B6" s="634" t="s">
        <v>709</v>
      </c>
    </row>
    <row r="7" spans="2:2" ht="300">
      <c r="B7" s="305" t="s">
        <v>1824</v>
      </c>
    </row>
    <row r="8" spans="2:2" ht="8.25" customHeight="1">
      <c r="B8" s="305"/>
    </row>
    <row r="9" spans="2:2">
      <c r="B9" s="634" t="s">
        <v>1747</v>
      </c>
    </row>
    <row r="10" spans="2:2" ht="130.5" customHeight="1">
      <c r="B10" s="305" t="s">
        <v>1791</v>
      </c>
    </row>
    <row r="11" spans="2:2">
      <c r="B11" s="626" t="s">
        <v>1813</v>
      </c>
    </row>
    <row r="12" spans="2:2" ht="30">
      <c r="B12" s="626" t="s">
        <v>1816</v>
      </c>
    </row>
    <row r="13" spans="2:2">
      <c r="B13" s="626" t="s">
        <v>1814</v>
      </c>
    </row>
    <row r="14" spans="2:2">
      <c r="B14" s="626" t="s">
        <v>1815</v>
      </c>
    </row>
    <row r="15" spans="2:2">
      <c r="B15" s="626" t="s">
        <v>1817</v>
      </c>
    </row>
    <row r="16" spans="2:2" ht="30">
      <c r="B16" s="626" t="s">
        <v>1792</v>
      </c>
    </row>
    <row r="17" spans="2:2">
      <c r="B17" s="626"/>
    </row>
    <row r="18" spans="2:2" ht="75">
      <c r="B18" s="626" t="s">
        <v>1793</v>
      </c>
    </row>
    <row r="19" spans="2:2" ht="8.25" customHeight="1">
      <c r="B19" s="626"/>
    </row>
    <row r="20" spans="2:2" ht="75">
      <c r="B20" s="210" t="s">
        <v>1794</v>
      </c>
    </row>
    <row r="21" spans="2:2" ht="6" customHeight="1"/>
    <row r="22" spans="2:2">
      <c r="B22" s="5" t="s">
        <v>1749</v>
      </c>
    </row>
    <row r="24" spans="2:2" ht="135">
      <c r="B24" s="210" t="s">
        <v>1795</v>
      </c>
    </row>
    <row r="26" spans="2:2" ht="62.25" customHeight="1">
      <c r="B26" s="210" t="s">
        <v>1796</v>
      </c>
    </row>
    <row r="28" spans="2:2">
      <c r="B28" s="5" t="s">
        <v>1750</v>
      </c>
    </row>
    <row r="29" spans="2:2" ht="30">
      <c r="B29" s="210" t="s">
        <v>1797</v>
      </c>
    </row>
    <row r="31" spans="2:2" ht="45">
      <c r="B31" s="210" t="s">
        <v>1798</v>
      </c>
    </row>
    <row r="33" spans="2:2">
      <c r="B33" s="5" t="s">
        <v>1751</v>
      </c>
    </row>
    <row r="34" spans="2:2" ht="105">
      <c r="B34" s="305" t="s">
        <v>1799</v>
      </c>
    </row>
    <row r="36" spans="2:2">
      <c r="B36" s="5" t="s">
        <v>1752</v>
      </c>
    </row>
    <row r="37" spans="2:2" ht="45">
      <c r="B37" s="210" t="s">
        <v>1800</v>
      </c>
    </row>
    <row r="39" spans="2:2">
      <c r="B39" s="5" t="s">
        <v>1753</v>
      </c>
    </row>
    <row r="40" spans="2:2" ht="45">
      <c r="B40" s="210" t="s">
        <v>1801</v>
      </c>
    </row>
    <row r="41" spans="2:2" ht="90">
      <c r="B41" s="305" t="s">
        <v>1802</v>
      </c>
    </row>
    <row r="43" spans="2:2">
      <c r="B43" s="5" t="s">
        <v>1754</v>
      </c>
    </row>
    <row r="44" spans="2:2" ht="195">
      <c r="B44" s="305" t="s">
        <v>1803</v>
      </c>
    </row>
    <row r="46" spans="2:2" ht="60">
      <c r="B46" s="305" t="s">
        <v>1804</v>
      </c>
    </row>
    <row r="48" spans="2:2">
      <c r="B48" t="s">
        <v>1805</v>
      </c>
    </row>
    <row r="49" spans="2:2">
      <c r="B49" t="s">
        <v>1806</v>
      </c>
    </row>
    <row r="50" spans="2:2">
      <c r="B50" t="s">
        <v>1807</v>
      </c>
    </row>
    <row r="51" spans="2:2">
      <c r="B51" s="5" t="s">
        <v>1755</v>
      </c>
    </row>
    <row r="52" spans="2:2">
      <c r="B52" s="633" t="s">
        <v>1756</v>
      </c>
    </row>
    <row r="53" spans="2:2" ht="45">
      <c r="B53" s="305" t="s">
        <v>1808</v>
      </c>
    </row>
    <row r="54" spans="2:2">
      <c r="B54" s="305"/>
    </row>
    <row r="55" spans="2:2" ht="60">
      <c r="B55" s="305" t="s">
        <v>1809</v>
      </c>
    </row>
    <row r="57" spans="2:2" ht="46.5" customHeight="1">
      <c r="B57" s="305" t="s">
        <v>1810</v>
      </c>
    </row>
    <row r="59" spans="2:2" ht="75">
      <c r="B59" s="305" t="s">
        <v>1811</v>
      </c>
    </row>
    <row r="61" spans="2:2">
      <c r="B61" s="5" t="s">
        <v>1757</v>
      </c>
    </row>
    <row r="62" spans="2:2" ht="60">
      <c r="B62" s="305" t="s">
        <v>1812</v>
      </c>
    </row>
    <row r="64" spans="2:2" hidden="1">
      <c r="B64" t="s">
        <v>1758</v>
      </c>
    </row>
    <row r="65" spans="2:2" hidden="1">
      <c r="B65" t="s">
        <v>1759</v>
      </c>
    </row>
    <row r="66" spans="2:2" hidden="1">
      <c r="B66" t="s">
        <v>1760</v>
      </c>
    </row>
    <row r="67" spans="2:2" hidden="1">
      <c r="B67" t="s">
        <v>1761</v>
      </c>
    </row>
    <row r="68" spans="2:2" hidden="1">
      <c r="B68" t="s">
        <v>1762</v>
      </c>
    </row>
    <row r="69" spans="2:2" hidden="1">
      <c r="B69" t="s">
        <v>1763</v>
      </c>
    </row>
    <row r="70" spans="2:2" hidden="1">
      <c r="B70" t="s">
        <v>1764</v>
      </c>
    </row>
    <row r="71" spans="2:2" hidden="1">
      <c r="B71" t="s">
        <v>1765</v>
      </c>
    </row>
    <row r="72" spans="2:2" hidden="1">
      <c r="B72" t="s">
        <v>1766</v>
      </c>
    </row>
    <row r="73" spans="2:2" hidden="1">
      <c r="B73" t="s">
        <v>1767</v>
      </c>
    </row>
    <row r="74" spans="2:2" hidden="1">
      <c r="B74" t="s">
        <v>1759</v>
      </c>
    </row>
    <row r="75" spans="2:2" hidden="1">
      <c r="B75" t="s">
        <v>1768</v>
      </c>
    </row>
    <row r="76" spans="2:2" hidden="1">
      <c r="B76" t="s">
        <v>1769</v>
      </c>
    </row>
    <row r="77" spans="2:2" hidden="1">
      <c r="B77" t="s">
        <v>1765</v>
      </c>
    </row>
    <row r="78" spans="2:2" hidden="1">
      <c r="B78" t="s">
        <v>1770</v>
      </c>
    </row>
    <row r="79" spans="2:2" hidden="1">
      <c r="B79" t="s">
        <v>1771</v>
      </c>
    </row>
    <row r="80" spans="2:2" hidden="1">
      <c r="B80" t="s">
        <v>1772</v>
      </c>
    </row>
    <row r="81" spans="2:2" hidden="1">
      <c r="B81" t="s">
        <v>1773</v>
      </c>
    </row>
    <row r="82" spans="2:2" hidden="1">
      <c r="B82" t="s">
        <v>1774</v>
      </c>
    </row>
    <row r="83" spans="2:2" hidden="1">
      <c r="B83" t="s">
        <v>1775</v>
      </c>
    </row>
    <row r="84" spans="2:2" hidden="1">
      <c r="B84" t="s">
        <v>1776</v>
      </c>
    </row>
    <row r="85" spans="2:2" hidden="1">
      <c r="B85" t="s">
        <v>1777</v>
      </c>
    </row>
    <row r="86" spans="2:2" hidden="1">
      <c r="B86" t="s">
        <v>1778</v>
      </c>
    </row>
    <row r="87" spans="2:2" hidden="1">
      <c r="B87" t="s">
        <v>1779</v>
      </c>
    </row>
    <row r="88" spans="2:2" hidden="1">
      <c r="B88" t="s">
        <v>1780</v>
      </c>
    </row>
    <row r="89" spans="2:2" hidden="1">
      <c r="B89" t="s">
        <v>1781</v>
      </c>
    </row>
    <row r="90" spans="2:2" hidden="1">
      <c r="B90" t="s">
        <v>1782</v>
      </c>
    </row>
    <row r="91" spans="2:2" hidden="1">
      <c r="B91" t="s">
        <v>1783</v>
      </c>
    </row>
    <row r="92" spans="2:2" hidden="1">
      <c r="B92" t="s">
        <v>1784</v>
      </c>
    </row>
    <row r="93" spans="2:2" hidden="1">
      <c r="B93" t="s">
        <v>1785</v>
      </c>
    </row>
    <row r="94" spans="2:2">
      <c r="B94" s="5" t="s">
        <v>1786</v>
      </c>
    </row>
    <row r="95" spans="2:2" ht="18.75" customHeight="1">
      <c r="B95" s="305" t="s">
        <v>1819</v>
      </c>
    </row>
    <row r="96" spans="2:2" ht="30">
      <c r="B96" s="305" t="s">
        <v>1818</v>
      </c>
    </row>
    <row r="97" spans="2:2">
      <c r="B97" s="305" t="s">
        <v>1787</v>
      </c>
    </row>
    <row r="98" spans="2:2" ht="30">
      <c r="B98" s="305" t="s">
        <v>1820</v>
      </c>
    </row>
    <row r="99" spans="2:2" ht="30">
      <c r="B99" s="305" t="s">
        <v>1821</v>
      </c>
    </row>
    <row r="100" spans="2:2" ht="30">
      <c r="B100" s="305" t="s">
        <v>1822</v>
      </c>
    </row>
    <row r="101" spans="2:2" ht="45">
      <c r="B101" s="305" t="s">
        <v>1823</v>
      </c>
    </row>
    <row r="103" spans="2:2">
      <c r="B103" t="s">
        <v>1788</v>
      </c>
    </row>
    <row r="104" spans="2:2">
      <c r="B104" t="s">
        <v>1789</v>
      </c>
    </row>
    <row r="138" spans="2:2" ht="90">
      <c r="B138" s="305" t="s">
        <v>1829</v>
      </c>
    </row>
    <row r="139" spans="2:2">
      <c r="B139" s="305"/>
    </row>
    <row r="140" spans="2:2">
      <c r="B140" s="5" t="s">
        <v>1828</v>
      </c>
    </row>
    <row r="141" spans="2:2">
      <c r="B141" t="s">
        <v>1826</v>
      </c>
    </row>
    <row r="142" spans="2:2">
      <c r="B142" t="s">
        <v>1827</v>
      </c>
    </row>
    <row r="179" spans="2:2">
      <c r="B179" s="5" t="s">
        <v>1825</v>
      </c>
    </row>
  </sheetData>
  <pageMargins left="0.7" right="0.7" top="0.75" bottom="0.75" header="0.3" footer="0.3"/>
  <pageSetup paperSize="9" scale="99" orientation="portrait" r:id="rId1"/>
  <rowBreaks count="6" manualBreakCount="6">
    <brk id="20" max="1" man="1"/>
    <brk id="42" max="1" man="1"/>
    <brk id="93" max="1" man="1"/>
    <brk id="137" max="1" man="1"/>
    <brk id="178" max="1" man="1"/>
    <brk id="214" max="1"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39"/>
  <sheetViews>
    <sheetView view="pageBreakPreview" zoomScale="85" zoomScaleSheetLayoutView="85" workbookViewId="0">
      <selection activeCell="F25" sqref="F25"/>
    </sheetView>
  </sheetViews>
  <sheetFormatPr defaultRowHeight="15"/>
  <cols>
    <col min="2" max="2" width="5.140625" customWidth="1"/>
    <col min="3" max="3" width="19.28515625" customWidth="1"/>
    <col min="4" max="5" width="20" customWidth="1"/>
  </cols>
  <sheetData>
    <row r="4" spans="2:6">
      <c r="B4" s="883" t="s">
        <v>1835</v>
      </c>
      <c r="C4" s="883"/>
      <c r="D4" s="883"/>
      <c r="E4" s="883"/>
      <c r="F4" s="883"/>
    </row>
    <row r="5" spans="2:6" ht="86.25" customHeight="1">
      <c r="B5" s="774" t="s">
        <v>1857</v>
      </c>
      <c r="C5" s="774"/>
      <c r="D5" s="774"/>
      <c r="E5" s="774"/>
      <c r="F5" s="774"/>
    </row>
    <row r="7" spans="2:6">
      <c r="B7" s="9" t="s">
        <v>1836</v>
      </c>
      <c r="C7" s="9" t="s">
        <v>1837</v>
      </c>
      <c r="D7" s="9" t="s">
        <v>1838</v>
      </c>
    </row>
    <row r="8" spans="2:6">
      <c r="B8" s="9">
        <v>1</v>
      </c>
      <c r="C8" s="9" t="s">
        <v>1720</v>
      </c>
      <c r="D8" s="9">
        <v>240</v>
      </c>
    </row>
    <row r="9" spans="2:6">
      <c r="B9" s="9">
        <v>2</v>
      </c>
      <c r="C9" s="9" t="s">
        <v>1730</v>
      </c>
      <c r="D9" s="9">
        <v>200</v>
      </c>
    </row>
    <row r="10" spans="2:6">
      <c r="B10" s="9">
        <v>3</v>
      </c>
      <c r="C10" s="9" t="s">
        <v>496</v>
      </c>
      <c r="D10" s="9">
        <v>100</v>
      </c>
    </row>
    <row r="11" spans="2:6">
      <c r="B11" s="9">
        <v>4</v>
      </c>
      <c r="C11" s="9" t="s">
        <v>1839</v>
      </c>
      <c r="D11" s="9">
        <v>100</v>
      </c>
    </row>
    <row r="12" spans="2:6">
      <c r="B12" s="9">
        <v>5</v>
      </c>
      <c r="C12" s="9" t="s">
        <v>1840</v>
      </c>
      <c r="D12" s="9">
        <v>50</v>
      </c>
    </row>
    <row r="14" spans="2:6" ht="29.25" customHeight="1">
      <c r="B14" s="774" t="s">
        <v>1856</v>
      </c>
      <c r="C14" s="774"/>
      <c r="D14" s="774"/>
      <c r="E14" s="774"/>
      <c r="F14" s="774"/>
    </row>
    <row r="16" spans="2:6">
      <c r="B16" t="s">
        <v>1841</v>
      </c>
    </row>
    <row r="18" spans="2:6" ht="61.5" customHeight="1">
      <c r="B18" s="774" t="s">
        <v>1842</v>
      </c>
      <c r="C18" s="774"/>
      <c r="D18" s="774"/>
      <c r="E18" s="774"/>
      <c r="F18" s="774"/>
    </row>
    <row r="19" spans="2:6">
      <c r="B19" s="803" t="s">
        <v>1843</v>
      </c>
      <c r="C19" s="803"/>
      <c r="D19" s="803"/>
      <c r="E19" s="803"/>
      <c r="F19" s="803"/>
    </row>
    <row r="20" spans="2:6" ht="110.25" customHeight="1">
      <c r="B20" s="774" t="s">
        <v>1844</v>
      </c>
      <c r="C20" s="774"/>
      <c r="D20" s="774"/>
      <c r="E20" s="774"/>
      <c r="F20" s="774"/>
    </row>
    <row r="22" spans="2:6">
      <c r="B22" t="s">
        <v>1845</v>
      </c>
    </row>
    <row r="23" spans="2:6">
      <c r="B23" t="s">
        <v>1858</v>
      </c>
    </row>
    <row r="24" spans="2:6">
      <c r="B24" t="s">
        <v>1846</v>
      </c>
    </row>
    <row r="25" spans="2:6">
      <c r="B25" t="s">
        <v>1847</v>
      </c>
    </row>
    <row r="26" spans="2:6">
      <c r="B26" t="s">
        <v>1848</v>
      </c>
    </row>
    <row r="28" spans="2:6">
      <c r="B28" s="5" t="s">
        <v>1849</v>
      </c>
    </row>
    <row r="29" spans="2:6" ht="123" customHeight="1">
      <c r="B29" s="774" t="s">
        <v>1850</v>
      </c>
      <c r="C29" s="774"/>
      <c r="D29" s="774"/>
      <c r="E29" s="774"/>
      <c r="F29" s="774"/>
    </row>
    <row r="30" spans="2:6" ht="6" customHeight="1"/>
    <row r="31" spans="2:6">
      <c r="B31" s="5" t="s">
        <v>1851</v>
      </c>
    </row>
    <row r="32" spans="2:6" ht="5.25" customHeight="1"/>
    <row r="33" spans="2:6" ht="93.75" customHeight="1">
      <c r="B33" s="774" t="s">
        <v>1852</v>
      </c>
      <c r="C33" s="774"/>
      <c r="D33" s="774"/>
      <c r="E33" s="774"/>
      <c r="F33" s="774"/>
    </row>
    <row r="35" spans="2:6">
      <c r="B35" t="s">
        <v>1853</v>
      </c>
    </row>
    <row r="37" spans="2:6">
      <c r="B37" s="5" t="s">
        <v>1854</v>
      </c>
    </row>
    <row r="39" spans="2:6" ht="142.5" customHeight="1">
      <c r="B39" s="774" t="s">
        <v>1855</v>
      </c>
      <c r="C39" s="774"/>
      <c r="D39" s="774"/>
      <c r="E39" s="774"/>
      <c r="F39" s="774"/>
    </row>
  </sheetData>
  <mergeCells count="9">
    <mergeCell ref="B33:F33"/>
    <mergeCell ref="B39:F39"/>
    <mergeCell ref="B14:F14"/>
    <mergeCell ref="B19:F19"/>
    <mergeCell ref="B4:F4"/>
    <mergeCell ref="B5:F5"/>
    <mergeCell ref="B18:F18"/>
    <mergeCell ref="B20:F20"/>
    <mergeCell ref="B29:F29"/>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9"/>
  <sheetViews>
    <sheetView view="pageBreakPreview" topLeftCell="A104" zoomScale="80" zoomScaleSheetLayoutView="80" workbookViewId="0">
      <selection activeCell="B110" sqref="B110"/>
    </sheetView>
  </sheetViews>
  <sheetFormatPr defaultRowHeight="15"/>
  <cols>
    <col min="1" max="1" width="44.28515625" bestFit="1" customWidth="1"/>
    <col min="2" max="2" width="23.28515625" bestFit="1" customWidth="1"/>
    <col min="3" max="3" width="11.5703125" customWidth="1"/>
    <col min="4" max="4" width="16" customWidth="1"/>
    <col min="5" max="5" width="15.140625" customWidth="1"/>
    <col min="6" max="6" width="15.85546875" customWidth="1"/>
    <col min="7" max="7" width="12.28515625" customWidth="1"/>
    <col min="8" max="8" width="16.140625" customWidth="1"/>
    <col min="9" max="9" width="11.42578125" bestFit="1" customWidth="1"/>
    <col min="10" max="12" width="11.42578125" customWidth="1"/>
    <col min="13" max="13" width="9.140625" bestFit="1" customWidth="1"/>
  </cols>
  <sheetData>
    <row r="1" spans="1:29" ht="18.75">
      <c r="A1" s="724" t="s">
        <v>504</v>
      </c>
      <c r="B1" s="724"/>
      <c r="C1" s="724"/>
      <c r="D1" s="724"/>
      <c r="E1" s="724"/>
      <c r="F1" s="724"/>
      <c r="G1" s="724"/>
      <c r="H1" s="724"/>
    </row>
    <row r="2" spans="1:29" ht="0.75" customHeight="1">
      <c r="B2" s="4"/>
    </row>
    <row r="3" spans="1:29" ht="18.75">
      <c r="A3" s="725" t="s">
        <v>2009</v>
      </c>
      <c r="B3" s="725"/>
    </row>
    <row r="4" spans="1:29">
      <c r="A4" s="211" t="s">
        <v>0</v>
      </c>
      <c r="B4" s="222" t="s">
        <v>391</v>
      </c>
      <c r="C4" s="223"/>
      <c r="D4" s="223"/>
      <c r="E4" s="223"/>
      <c r="F4" s="223"/>
      <c r="G4" s="223"/>
      <c r="H4" s="223"/>
    </row>
    <row r="5" spans="1:29">
      <c r="A5" s="9" t="s">
        <v>497</v>
      </c>
      <c r="B5" s="207">
        <v>0</v>
      </c>
      <c r="D5" s="224"/>
      <c r="E5" s="224"/>
      <c r="F5" s="224"/>
      <c r="G5" s="224"/>
      <c r="H5" s="224"/>
    </row>
    <row r="6" spans="1:29">
      <c r="A6" s="9" t="s">
        <v>498</v>
      </c>
      <c r="B6" s="207">
        <v>0</v>
      </c>
      <c r="D6" s="224"/>
      <c r="E6" s="224"/>
      <c r="F6" s="224"/>
      <c r="G6" s="224"/>
      <c r="H6" s="224"/>
    </row>
    <row r="7" spans="1:29">
      <c r="A7" s="2" t="s">
        <v>1</v>
      </c>
      <c r="B7" s="2">
        <f>B5+B6</f>
        <v>0</v>
      </c>
      <c r="C7" s="5"/>
      <c r="D7" s="225"/>
      <c r="E7" s="225"/>
      <c r="F7" s="225"/>
      <c r="G7" s="225"/>
      <c r="H7" s="225"/>
    </row>
    <row r="8" spans="1:29">
      <c r="A8" s="2" t="s">
        <v>499</v>
      </c>
      <c r="B8" s="239">
        <v>2</v>
      </c>
      <c r="C8" s="5"/>
      <c r="D8" s="5"/>
      <c r="E8" s="5"/>
      <c r="F8" s="5"/>
      <c r="G8" s="5"/>
      <c r="H8" s="5"/>
    </row>
    <row r="9" spans="1:29">
      <c r="A9" s="2" t="s">
        <v>500</v>
      </c>
      <c r="B9" s="2">
        <f>B7*B8</f>
        <v>0</v>
      </c>
      <c r="C9" s="225"/>
      <c r="D9" s="225"/>
      <c r="E9" s="225"/>
      <c r="F9" s="225"/>
      <c r="G9" s="225"/>
      <c r="H9" s="225"/>
    </row>
    <row r="10" spans="1:29" ht="6" customHeight="1">
      <c r="M10" t="s">
        <v>457</v>
      </c>
      <c r="R10" t="s">
        <v>453</v>
      </c>
      <c r="X10" t="s">
        <v>454</v>
      </c>
      <c r="AB10" t="s">
        <v>455</v>
      </c>
      <c r="AC10" t="s">
        <v>456</v>
      </c>
    </row>
    <row r="11" spans="1:29" ht="18.75">
      <c r="A11" s="724" t="s">
        <v>2010</v>
      </c>
      <c r="B11" s="724"/>
      <c r="C11" s="724"/>
      <c r="D11" s="724"/>
      <c r="E11" s="724"/>
      <c r="F11" s="724"/>
      <c r="G11" s="724"/>
      <c r="H11" s="724"/>
      <c r="I11" s="5"/>
      <c r="J11" s="5"/>
      <c r="K11" s="5"/>
      <c r="L11" s="5"/>
      <c r="M11" s="5"/>
      <c r="N11" s="5"/>
      <c r="O11" s="5"/>
      <c r="P11" s="5"/>
      <c r="Q11" s="5"/>
      <c r="R11" s="5"/>
      <c r="S11" s="5"/>
    </row>
    <row r="12" spans="1:29" ht="8.25" customHeight="1">
      <c r="M12" s="3">
        <v>0.65</v>
      </c>
      <c r="N12" s="220">
        <f>M12+0.05</f>
        <v>0.70000000000000007</v>
      </c>
      <c r="O12" s="220">
        <f>N12+0.05</f>
        <v>0.75000000000000011</v>
      </c>
      <c r="P12" s="220">
        <f>O12+0.05</f>
        <v>0.80000000000000016</v>
      </c>
      <c r="Q12" s="220">
        <f>P12+0.05</f>
        <v>0.8500000000000002</v>
      </c>
      <c r="R12" s="3">
        <v>0.4</v>
      </c>
      <c r="S12" s="3">
        <f>R12+0.05</f>
        <v>0.45</v>
      </c>
      <c r="T12" s="3">
        <f>S12+0.05</f>
        <v>0.5</v>
      </c>
      <c r="U12" s="3">
        <f>T12+0.05</f>
        <v>0.55000000000000004</v>
      </c>
      <c r="V12" s="3">
        <f>U12+0.05</f>
        <v>0.60000000000000009</v>
      </c>
      <c r="W12" s="3">
        <f>V12+0.05</f>
        <v>0.65000000000000013</v>
      </c>
      <c r="X12" s="3">
        <v>0.1</v>
      </c>
      <c r="Y12" s="6">
        <f>X12+0.05</f>
        <v>0.15000000000000002</v>
      </c>
      <c r="Z12" s="6">
        <f>Y12+0.05</f>
        <v>0.2</v>
      </c>
      <c r="AA12" s="6">
        <f>Z12+0.05</f>
        <v>0.25</v>
      </c>
    </row>
    <row r="13" spans="1:29" ht="60">
      <c r="A13" s="211" t="s">
        <v>395</v>
      </c>
      <c r="B13" s="211" t="s">
        <v>396</v>
      </c>
      <c r="C13" s="212" t="s">
        <v>450</v>
      </c>
      <c r="D13" s="212" t="s">
        <v>458</v>
      </c>
      <c r="E13" s="212" t="s">
        <v>459</v>
      </c>
      <c r="F13" s="212" t="s">
        <v>397</v>
      </c>
      <c r="G13" s="212" t="s">
        <v>618</v>
      </c>
      <c r="H13" s="212" t="s">
        <v>398</v>
      </c>
      <c r="I13" s="214" t="s">
        <v>1724</v>
      </c>
      <c r="J13">
        <f>15000/100</f>
        <v>150</v>
      </c>
      <c r="L13">
        <f>365-120</f>
        <v>245</v>
      </c>
      <c r="R13" s="219" t="s">
        <v>2</v>
      </c>
      <c r="S13" s="219" t="s">
        <v>3</v>
      </c>
      <c r="T13" s="219" t="s">
        <v>4</v>
      </c>
      <c r="U13" s="219" t="s">
        <v>5</v>
      </c>
      <c r="V13" s="219" t="s">
        <v>6</v>
      </c>
      <c r="W13" s="219" t="s">
        <v>2</v>
      </c>
      <c r="X13" s="219" t="s">
        <v>3</v>
      </c>
      <c r="Y13" s="219" t="s">
        <v>4</v>
      </c>
      <c r="Z13" s="219" t="s">
        <v>5</v>
      </c>
      <c r="AA13" s="219" t="s">
        <v>6</v>
      </c>
    </row>
    <row r="14" spans="1:29">
      <c r="A14" s="726" t="s">
        <v>399</v>
      </c>
      <c r="B14" s="9" t="s">
        <v>1950</v>
      </c>
      <c r="C14" s="579">
        <v>0.05</v>
      </c>
      <c r="D14" s="9">
        <f t="shared" ref="D14:D22" si="0">$B$9*C14</f>
        <v>0</v>
      </c>
      <c r="E14" s="9">
        <v>60</v>
      </c>
      <c r="F14" s="9">
        <f>D14*E14</f>
        <v>0</v>
      </c>
      <c r="G14" s="230">
        <v>0.1</v>
      </c>
      <c r="H14" s="9">
        <f>(F14-F14*G14)</f>
        <v>0</v>
      </c>
      <c r="I14">
        <v>2500</v>
      </c>
      <c r="J14">
        <f>(2000*120)/100</f>
        <v>2400</v>
      </c>
      <c r="K14">
        <f>+J14/365</f>
        <v>6.5753424657534243</v>
      </c>
      <c r="L14">
        <v>4</v>
      </c>
      <c r="M14">
        <f>$D$14*M12</f>
        <v>0</v>
      </c>
      <c r="N14">
        <f>$D$14*N12</f>
        <v>0</v>
      </c>
      <c r="O14">
        <f>$D$14*O12</f>
        <v>0</v>
      </c>
      <c r="P14">
        <f>$D$14*P12</f>
        <v>0</v>
      </c>
      <c r="Q14">
        <f>$D$14*Q12</f>
        <v>0</v>
      </c>
    </row>
    <row r="15" spans="1:29">
      <c r="A15" s="727"/>
      <c r="B15" s="9" t="s">
        <v>488</v>
      </c>
      <c r="C15" s="579">
        <v>0.03</v>
      </c>
      <c r="D15" s="9">
        <f t="shared" si="0"/>
        <v>0</v>
      </c>
      <c r="E15" s="9">
        <v>180</v>
      </c>
      <c r="F15" s="9">
        <f t="shared" ref="F15:F38" si="1">D15*E15</f>
        <v>0</v>
      </c>
      <c r="G15" s="230">
        <v>0.05</v>
      </c>
      <c r="H15" s="9">
        <f>(F15-F15*G15)</f>
        <v>0</v>
      </c>
      <c r="J15">
        <f>1500*365/100</f>
        <v>5475</v>
      </c>
      <c r="K15">
        <f t="shared" ref="K15:K42" si="2">+J15/365</f>
        <v>15</v>
      </c>
    </row>
    <row r="16" spans="1:29">
      <c r="A16" s="727"/>
      <c r="B16" s="9" t="s">
        <v>489</v>
      </c>
      <c r="C16" s="579">
        <v>0.04</v>
      </c>
      <c r="D16" s="9">
        <f t="shared" si="0"/>
        <v>0</v>
      </c>
      <c r="E16" s="9">
        <v>70</v>
      </c>
      <c r="F16" s="9">
        <f t="shared" si="1"/>
        <v>0</v>
      </c>
      <c r="G16" s="230">
        <v>0</v>
      </c>
      <c r="H16" s="9">
        <f t="shared" ref="H16:H38" si="3">(F16-F16*G16)</f>
        <v>0</v>
      </c>
      <c r="I16" t="s">
        <v>1721</v>
      </c>
      <c r="J16">
        <f>750*365/100</f>
        <v>2737.5</v>
      </c>
      <c r="K16">
        <f t="shared" si="2"/>
        <v>7.5</v>
      </c>
      <c r="M16">
        <f>+H14*100</f>
        <v>0</v>
      </c>
    </row>
    <row r="17" spans="1:15">
      <c r="A17" s="727"/>
      <c r="B17" s="9" t="s">
        <v>490</v>
      </c>
      <c r="C17" s="579">
        <v>0.06</v>
      </c>
      <c r="D17" s="9">
        <f t="shared" si="0"/>
        <v>0</v>
      </c>
      <c r="E17" s="9">
        <v>60</v>
      </c>
      <c r="F17" s="9">
        <f t="shared" si="1"/>
        <v>0</v>
      </c>
      <c r="G17" s="230">
        <v>0.02</v>
      </c>
      <c r="H17" s="9">
        <f t="shared" si="3"/>
        <v>0</v>
      </c>
      <c r="J17">
        <f>1000*365/100</f>
        <v>3650</v>
      </c>
      <c r="K17">
        <f t="shared" si="2"/>
        <v>10</v>
      </c>
      <c r="M17">
        <f>+M16/1000</f>
        <v>0</v>
      </c>
    </row>
    <row r="18" spans="1:15">
      <c r="A18" s="727"/>
      <c r="B18" s="9" t="s">
        <v>492</v>
      </c>
      <c r="C18" s="579">
        <v>0.09</v>
      </c>
      <c r="D18" s="9">
        <f t="shared" si="0"/>
        <v>0</v>
      </c>
      <c r="E18" s="9">
        <v>120</v>
      </c>
      <c r="F18" s="9">
        <f t="shared" si="1"/>
        <v>0</v>
      </c>
      <c r="G18" s="230">
        <v>0</v>
      </c>
      <c r="H18" s="9">
        <f t="shared" si="3"/>
        <v>0</v>
      </c>
      <c r="I18">
        <v>5000</v>
      </c>
      <c r="J18">
        <f>1500*365/100</f>
        <v>5475</v>
      </c>
      <c r="K18">
        <f t="shared" si="2"/>
        <v>15</v>
      </c>
      <c r="L18">
        <v>4</v>
      </c>
    </row>
    <row r="19" spans="1:15">
      <c r="A19" s="727"/>
      <c r="B19" s="9" t="s">
        <v>1713</v>
      </c>
      <c r="C19" s="579">
        <v>0.05</v>
      </c>
      <c r="D19" s="9">
        <f t="shared" si="0"/>
        <v>0</v>
      </c>
      <c r="E19" s="9">
        <v>120</v>
      </c>
      <c r="F19" s="9">
        <f t="shared" si="1"/>
        <v>0</v>
      </c>
      <c r="G19" s="230">
        <v>0.1</v>
      </c>
      <c r="H19" s="9">
        <f t="shared" si="3"/>
        <v>0</v>
      </c>
      <c r="J19">
        <f>1000*365/100</f>
        <v>3650</v>
      </c>
      <c r="K19">
        <f t="shared" si="2"/>
        <v>10</v>
      </c>
    </row>
    <row r="20" spans="1:15">
      <c r="A20" s="727"/>
      <c r="B20" s="9" t="s">
        <v>1729</v>
      </c>
      <c r="C20" s="579">
        <v>0.05</v>
      </c>
      <c r="D20" s="9">
        <f t="shared" si="0"/>
        <v>0</v>
      </c>
      <c r="E20" s="9">
        <v>120</v>
      </c>
      <c r="F20" s="9">
        <f t="shared" si="1"/>
        <v>0</v>
      </c>
      <c r="G20" s="230">
        <v>0.02</v>
      </c>
      <c r="H20" s="9">
        <f t="shared" si="3"/>
        <v>0</v>
      </c>
      <c r="K20">
        <f t="shared" si="2"/>
        <v>0</v>
      </c>
    </row>
    <row r="21" spans="1:15">
      <c r="A21" s="727"/>
      <c r="B21" s="9" t="s">
        <v>1728</v>
      </c>
      <c r="C21" s="625">
        <v>5.0000000000000001E-3</v>
      </c>
      <c r="D21" s="9">
        <f t="shared" si="0"/>
        <v>0</v>
      </c>
      <c r="E21" s="9">
        <v>800</v>
      </c>
      <c r="F21" s="9">
        <f t="shared" si="1"/>
        <v>0</v>
      </c>
      <c r="G21" s="230">
        <v>0</v>
      </c>
      <c r="H21" s="9">
        <f t="shared" si="3"/>
        <v>0</v>
      </c>
      <c r="K21">
        <f t="shared" si="2"/>
        <v>0</v>
      </c>
      <c r="O21">
        <v>20000</v>
      </c>
    </row>
    <row r="22" spans="1:15" ht="5.25" customHeight="1">
      <c r="A22" s="728"/>
      <c r="B22" s="9"/>
      <c r="C22" s="579">
        <v>0</v>
      </c>
      <c r="D22" s="9">
        <f t="shared" si="0"/>
        <v>0</v>
      </c>
      <c r="E22" s="9"/>
      <c r="F22" s="9">
        <f t="shared" si="1"/>
        <v>0</v>
      </c>
      <c r="G22" s="230">
        <v>0</v>
      </c>
      <c r="H22" s="9">
        <f t="shared" si="3"/>
        <v>0</v>
      </c>
      <c r="K22">
        <f t="shared" si="2"/>
        <v>0</v>
      </c>
      <c r="O22">
        <f>+O21*50</f>
        <v>1000000</v>
      </c>
    </row>
    <row r="23" spans="1:15">
      <c r="A23" s="238" t="s">
        <v>505</v>
      </c>
      <c r="B23" s="230">
        <v>0.5</v>
      </c>
      <c r="C23" s="234">
        <f>B9*B23</f>
        <v>0</v>
      </c>
      <c r="D23" s="9"/>
      <c r="E23" s="9"/>
      <c r="F23" s="9"/>
      <c r="G23" s="230"/>
      <c r="H23" s="9"/>
      <c r="K23">
        <f t="shared" si="2"/>
        <v>0</v>
      </c>
    </row>
    <row r="24" spans="1:15">
      <c r="A24" s="726" t="s">
        <v>401</v>
      </c>
      <c r="B24" s="9" t="s">
        <v>1950</v>
      </c>
      <c r="C24" s="579">
        <v>0.2</v>
      </c>
      <c r="D24" s="9">
        <f t="shared" ref="D24:D34" si="4">C$23*C24</f>
        <v>0</v>
      </c>
      <c r="E24" s="9">
        <v>60</v>
      </c>
      <c r="F24" s="9">
        <f t="shared" si="1"/>
        <v>0</v>
      </c>
      <c r="G24" s="230">
        <v>0.1</v>
      </c>
      <c r="H24" s="9">
        <f t="shared" si="3"/>
        <v>0</v>
      </c>
      <c r="I24">
        <v>5000</v>
      </c>
      <c r="J24">
        <f>2500*245/100</f>
        <v>6125</v>
      </c>
      <c r="K24">
        <f t="shared" si="2"/>
        <v>16.780821917808218</v>
      </c>
      <c r="L24">
        <v>4</v>
      </c>
      <c r="M24">
        <f>+H24*100/1000</f>
        <v>0</v>
      </c>
    </row>
    <row r="25" spans="1:15">
      <c r="A25" s="727"/>
      <c r="B25" s="9" t="s">
        <v>488</v>
      </c>
      <c r="C25" s="579">
        <v>0.1</v>
      </c>
      <c r="D25" s="9">
        <f t="shared" si="4"/>
        <v>0</v>
      </c>
      <c r="E25" s="9">
        <v>180</v>
      </c>
      <c r="F25" s="9">
        <f t="shared" si="1"/>
        <v>0</v>
      </c>
      <c r="G25" s="230">
        <v>0.1</v>
      </c>
      <c r="H25" s="9">
        <f t="shared" si="3"/>
        <v>0</v>
      </c>
      <c r="J25">
        <f>1500*365/100</f>
        <v>5475</v>
      </c>
      <c r="K25">
        <f t="shared" si="2"/>
        <v>15</v>
      </c>
    </row>
    <row r="26" spans="1:15">
      <c r="A26" s="727"/>
      <c r="B26" s="9" t="s">
        <v>489</v>
      </c>
      <c r="C26" s="579">
        <v>0.08</v>
      </c>
      <c r="D26" s="9">
        <f t="shared" si="4"/>
        <v>0</v>
      </c>
      <c r="E26" s="9">
        <v>70</v>
      </c>
      <c r="F26" s="9">
        <f t="shared" si="1"/>
        <v>0</v>
      </c>
      <c r="G26" s="230">
        <v>0.05</v>
      </c>
      <c r="H26" s="9">
        <f t="shared" si="3"/>
        <v>0</v>
      </c>
      <c r="J26">
        <f>750*365/100</f>
        <v>2737.5</v>
      </c>
      <c r="K26">
        <f t="shared" si="2"/>
        <v>7.5</v>
      </c>
    </row>
    <row r="27" spans="1:15">
      <c r="A27" s="727"/>
      <c r="B27" s="9" t="s">
        <v>490</v>
      </c>
      <c r="C27" s="579">
        <v>0.1</v>
      </c>
      <c r="D27" s="9">
        <f t="shared" si="4"/>
        <v>0</v>
      </c>
      <c r="E27" s="9">
        <v>60</v>
      </c>
      <c r="F27" s="9">
        <f t="shared" si="1"/>
        <v>0</v>
      </c>
      <c r="G27" s="230">
        <v>0.05</v>
      </c>
      <c r="H27" s="9">
        <f t="shared" si="3"/>
        <v>0</v>
      </c>
      <c r="J27">
        <f>600*365/100</f>
        <v>2190</v>
      </c>
      <c r="K27">
        <f t="shared" si="2"/>
        <v>6</v>
      </c>
    </row>
    <row r="28" spans="1:15">
      <c r="A28" s="727"/>
      <c r="B28" s="9" t="s">
        <v>491</v>
      </c>
      <c r="C28" s="579">
        <v>0.05</v>
      </c>
      <c r="D28" s="9">
        <f t="shared" si="4"/>
        <v>0</v>
      </c>
      <c r="E28" s="9">
        <v>150</v>
      </c>
      <c r="F28" s="9">
        <f>D28*E28</f>
        <v>0</v>
      </c>
      <c r="G28" s="230">
        <v>0.05</v>
      </c>
      <c r="H28" s="9">
        <f>(F28-F28*G28)</f>
        <v>0</v>
      </c>
      <c r="J28">
        <f>750*365/100</f>
        <v>2737.5</v>
      </c>
      <c r="K28">
        <f t="shared" si="2"/>
        <v>7.5</v>
      </c>
    </row>
    <row r="29" spans="1:15">
      <c r="A29" s="727"/>
      <c r="B29" s="9" t="s">
        <v>1722</v>
      </c>
      <c r="C29" s="579">
        <v>0.1</v>
      </c>
      <c r="D29" s="9">
        <f t="shared" si="4"/>
        <v>0</v>
      </c>
      <c r="E29" s="9">
        <v>80</v>
      </c>
      <c r="F29" s="9">
        <f>D29*E29</f>
        <v>0</v>
      </c>
      <c r="G29" s="230">
        <v>0.05</v>
      </c>
      <c r="H29" s="9">
        <f>(F29-F29*G29)</f>
        <v>0</v>
      </c>
      <c r="J29">
        <f>1000*365/100</f>
        <v>3650</v>
      </c>
      <c r="K29">
        <f t="shared" si="2"/>
        <v>10</v>
      </c>
    </row>
    <row r="30" spans="1:15" hidden="1">
      <c r="A30" s="727"/>
      <c r="B30" s="9"/>
      <c r="C30" s="579">
        <v>0</v>
      </c>
      <c r="D30" s="9">
        <f t="shared" si="4"/>
        <v>0</v>
      </c>
      <c r="E30" s="9"/>
      <c r="F30" s="9">
        <f t="shared" si="1"/>
        <v>0</v>
      </c>
      <c r="G30" s="230">
        <v>0</v>
      </c>
      <c r="H30" s="9">
        <f t="shared" si="3"/>
        <v>0</v>
      </c>
      <c r="K30">
        <f t="shared" si="2"/>
        <v>0</v>
      </c>
    </row>
    <row r="31" spans="1:15" hidden="1">
      <c r="A31" s="728"/>
      <c r="B31" s="9"/>
      <c r="C31" s="579">
        <v>0</v>
      </c>
      <c r="D31" s="9">
        <f t="shared" si="4"/>
        <v>0</v>
      </c>
      <c r="E31" s="9"/>
      <c r="F31" s="9">
        <f t="shared" si="1"/>
        <v>0</v>
      </c>
      <c r="G31" s="230">
        <v>0</v>
      </c>
      <c r="H31" s="9">
        <f t="shared" si="3"/>
        <v>0</v>
      </c>
      <c r="K31">
        <f t="shared" si="2"/>
        <v>0</v>
      </c>
    </row>
    <row r="32" spans="1:15">
      <c r="A32" s="238" t="s">
        <v>506</v>
      </c>
      <c r="B32" s="230">
        <v>0.2</v>
      </c>
      <c r="C32" s="9">
        <f>B9*B32</f>
        <v>0</v>
      </c>
      <c r="D32" s="9"/>
      <c r="E32" s="9"/>
      <c r="F32" s="9"/>
      <c r="G32" s="230"/>
      <c r="H32" s="9"/>
      <c r="K32">
        <f t="shared" si="2"/>
        <v>0</v>
      </c>
    </row>
    <row r="33" spans="1:13">
      <c r="A33" s="235" t="s">
        <v>463</v>
      </c>
      <c r="B33" s="9" t="s">
        <v>1714</v>
      </c>
      <c r="C33" s="579">
        <v>0.2</v>
      </c>
      <c r="D33" s="9">
        <f t="shared" si="4"/>
        <v>0</v>
      </c>
      <c r="E33" s="9">
        <v>60</v>
      </c>
      <c r="F33" s="9">
        <f t="shared" si="1"/>
        <v>0</v>
      </c>
      <c r="G33" s="230">
        <v>0.05</v>
      </c>
      <c r="H33" s="9">
        <f t="shared" si="3"/>
        <v>0</v>
      </c>
      <c r="J33">
        <f>1500*365/100</f>
        <v>5475</v>
      </c>
      <c r="K33">
        <f t="shared" si="2"/>
        <v>15</v>
      </c>
    </row>
    <row r="34" spans="1:13">
      <c r="A34" s="236"/>
      <c r="B34" s="9" t="s">
        <v>1715</v>
      </c>
      <c r="C34" s="579">
        <v>0.2</v>
      </c>
      <c r="D34" s="9">
        <f t="shared" si="4"/>
        <v>0</v>
      </c>
      <c r="E34" s="9">
        <v>40</v>
      </c>
      <c r="F34" s="9">
        <f t="shared" si="1"/>
        <v>0</v>
      </c>
      <c r="G34" s="230">
        <v>0.05</v>
      </c>
      <c r="H34" s="9">
        <f t="shared" si="3"/>
        <v>0</v>
      </c>
      <c r="J34">
        <f>1500*365/100</f>
        <v>5475</v>
      </c>
      <c r="K34">
        <f t="shared" si="2"/>
        <v>15</v>
      </c>
    </row>
    <row r="35" spans="1:13">
      <c r="A35" s="236"/>
      <c r="B35" s="9" t="s">
        <v>1717</v>
      </c>
      <c r="C35" s="579">
        <v>0.25</v>
      </c>
      <c r="D35" s="9">
        <f>C$23*C35</f>
        <v>0</v>
      </c>
      <c r="E35" s="9">
        <v>30</v>
      </c>
      <c r="F35" s="9">
        <f>D35*E35</f>
        <v>0</v>
      </c>
      <c r="G35" s="230">
        <v>0.05</v>
      </c>
      <c r="H35" s="9">
        <f>(F35-F35*G35)</f>
        <v>0</v>
      </c>
      <c r="J35">
        <f>500*365/100</f>
        <v>1825</v>
      </c>
      <c r="K35">
        <f t="shared" si="2"/>
        <v>5</v>
      </c>
    </row>
    <row r="36" spans="1:13" hidden="1">
      <c r="A36" s="236"/>
      <c r="B36" s="9"/>
      <c r="C36" s="579"/>
      <c r="D36" s="9"/>
      <c r="E36" s="9"/>
      <c r="F36" s="9"/>
      <c r="G36" s="230"/>
      <c r="H36" s="9"/>
      <c r="J36">
        <f>900*365/100</f>
        <v>3285</v>
      </c>
      <c r="K36">
        <f t="shared" si="2"/>
        <v>9</v>
      </c>
    </row>
    <row r="37" spans="1:13">
      <c r="A37" s="237"/>
      <c r="B37" s="9" t="s">
        <v>1716</v>
      </c>
      <c r="C37" s="579">
        <v>0.2</v>
      </c>
      <c r="D37" s="9">
        <f>C$23*C37</f>
        <v>0</v>
      </c>
      <c r="E37" s="9">
        <v>30</v>
      </c>
      <c r="F37" s="9">
        <f>D37*E37</f>
        <v>0</v>
      </c>
      <c r="G37" s="230">
        <v>0.05</v>
      </c>
      <c r="H37" s="9">
        <f>(F37-F37*G37)</f>
        <v>0</v>
      </c>
      <c r="J37">
        <f>1200*365/100</f>
        <v>4380</v>
      </c>
      <c r="K37">
        <f t="shared" si="2"/>
        <v>12</v>
      </c>
    </row>
    <row r="38" spans="1:13">
      <c r="A38" s="723" t="s">
        <v>507</v>
      </c>
      <c r="B38" s="9" t="s">
        <v>493</v>
      </c>
      <c r="C38" s="579">
        <v>0.14000000000000001</v>
      </c>
      <c r="D38" s="9">
        <f>$B$9*C38</f>
        <v>0</v>
      </c>
      <c r="E38" s="9">
        <v>80</v>
      </c>
      <c r="F38" s="9">
        <f t="shared" si="1"/>
        <v>0</v>
      </c>
      <c r="G38" s="230">
        <v>0.05</v>
      </c>
      <c r="H38" s="9">
        <f t="shared" si="3"/>
        <v>0</v>
      </c>
      <c r="I38">
        <v>5000</v>
      </c>
      <c r="J38">
        <f>1500*365/100</f>
        <v>5475</v>
      </c>
      <c r="K38">
        <f t="shared" si="2"/>
        <v>15</v>
      </c>
      <c r="L38">
        <v>3</v>
      </c>
    </row>
    <row r="39" spans="1:13">
      <c r="A39" s="723"/>
      <c r="B39" s="9" t="s">
        <v>1720</v>
      </c>
      <c r="C39" s="579">
        <v>0.05</v>
      </c>
      <c r="D39" s="9">
        <f>$B$9*C39</f>
        <v>0</v>
      </c>
      <c r="E39" s="9">
        <v>200</v>
      </c>
      <c r="F39" s="9">
        <f>D39*E39</f>
        <v>0</v>
      </c>
      <c r="G39" s="230">
        <v>0.05</v>
      </c>
      <c r="H39" s="9">
        <f>(F39-F39*G39)</f>
        <v>0</v>
      </c>
      <c r="I39">
        <v>5000</v>
      </c>
      <c r="J39">
        <f>1000*365/100</f>
        <v>3650</v>
      </c>
      <c r="K39">
        <f t="shared" si="2"/>
        <v>10</v>
      </c>
    </row>
    <row r="40" spans="1:13">
      <c r="A40" s="723"/>
      <c r="B40" s="9" t="s">
        <v>1730</v>
      </c>
      <c r="C40" s="579">
        <v>0.05</v>
      </c>
      <c r="D40" s="9">
        <f>$B$9*C40</f>
        <v>0</v>
      </c>
      <c r="E40" s="9">
        <v>150</v>
      </c>
      <c r="F40" s="9">
        <f>D40*E40</f>
        <v>0</v>
      </c>
      <c r="G40" s="230">
        <v>0.05</v>
      </c>
      <c r="H40" s="9">
        <f>(F40-F40*G40)</f>
        <v>0</v>
      </c>
      <c r="I40">
        <v>5000</v>
      </c>
      <c r="J40">
        <f>500*365/100</f>
        <v>1825</v>
      </c>
      <c r="K40">
        <f t="shared" si="2"/>
        <v>5</v>
      </c>
    </row>
    <row r="41" spans="1:13">
      <c r="A41" s="723"/>
      <c r="B41" s="9" t="s">
        <v>1839</v>
      </c>
      <c r="C41" s="579">
        <v>0.03</v>
      </c>
      <c r="D41" s="9">
        <f>$B$9*C41</f>
        <v>0</v>
      </c>
      <c r="E41" s="9">
        <v>150</v>
      </c>
      <c r="F41" s="9">
        <f>D41*E41</f>
        <v>0</v>
      </c>
      <c r="G41" s="230">
        <v>0.05</v>
      </c>
      <c r="H41" s="9">
        <f>(F41-F41*G41)</f>
        <v>0</v>
      </c>
    </row>
    <row r="42" spans="1:13">
      <c r="A42" s="723"/>
      <c r="B42" s="9" t="s">
        <v>496</v>
      </c>
      <c r="C42" s="579">
        <v>0.05</v>
      </c>
      <c r="D42" s="9">
        <f>$B$9*C42</f>
        <v>0</v>
      </c>
      <c r="E42" s="9">
        <v>120</v>
      </c>
      <c r="F42" s="9">
        <f>D42*E42</f>
        <v>0</v>
      </c>
      <c r="G42" s="230">
        <v>0.05</v>
      </c>
      <c r="H42" s="9">
        <f>(F42-F42*G42)</f>
        <v>0</v>
      </c>
      <c r="I42" t="s">
        <v>1719</v>
      </c>
      <c r="J42">
        <f>1000*365/100</f>
        <v>3650</v>
      </c>
      <c r="K42">
        <f t="shared" si="2"/>
        <v>10</v>
      </c>
      <c r="M42" t="s">
        <v>1718</v>
      </c>
    </row>
    <row r="43" spans="1:13">
      <c r="A43" s="729" t="s">
        <v>405</v>
      </c>
      <c r="B43" s="729"/>
      <c r="C43" s="729"/>
      <c r="D43" s="729"/>
      <c r="E43" s="729"/>
      <c r="F43" s="729"/>
      <c r="G43" s="729"/>
      <c r="H43" s="729"/>
      <c r="K43">
        <f>SUM(K14:K42)</f>
        <v>222.85616438356163</v>
      </c>
    </row>
    <row r="44" spans="1:13">
      <c r="I44">
        <f>SUM(H14:H42)</f>
        <v>0</v>
      </c>
      <c r="K44">
        <f>+K43*100</f>
        <v>22285.616438356163</v>
      </c>
    </row>
    <row r="45" spans="1:13" ht="18.75">
      <c r="A45" s="1173" t="s">
        <v>2011</v>
      </c>
      <c r="B45" s="1174"/>
      <c r="C45" s="1174"/>
      <c r="D45" s="1174"/>
      <c r="E45" s="1174"/>
      <c r="F45" s="1174"/>
      <c r="G45" s="1174"/>
      <c r="H45" s="1175"/>
      <c r="I45">
        <f>+H14+H18+H24+H29+H38</f>
        <v>0</v>
      </c>
      <c r="J45">
        <f>+I44-I45</f>
        <v>0</v>
      </c>
      <c r="L45">
        <f>+J45*100/1000</f>
        <v>0</v>
      </c>
    </row>
    <row r="46" spans="1:13">
      <c r="A46" s="1176" t="s">
        <v>0</v>
      </c>
      <c r="B46" s="228">
        <v>1</v>
      </c>
      <c r="C46" s="228">
        <f t="shared" ref="C46:H46" si="5">+B46+5%</f>
        <v>1.05</v>
      </c>
      <c r="D46" s="228">
        <f t="shared" si="5"/>
        <v>1.1000000000000001</v>
      </c>
      <c r="E46" s="228">
        <f t="shared" si="5"/>
        <v>1.1500000000000001</v>
      </c>
      <c r="F46" s="228">
        <f t="shared" si="5"/>
        <v>1.2000000000000002</v>
      </c>
      <c r="G46" s="228">
        <f t="shared" si="5"/>
        <v>1.2500000000000002</v>
      </c>
      <c r="H46" s="228">
        <f t="shared" si="5"/>
        <v>1.3000000000000003</v>
      </c>
      <c r="I46" s="624"/>
      <c r="J46" s="624"/>
      <c r="L46">
        <f>+L45/365</f>
        <v>0</v>
      </c>
    </row>
    <row r="47" spans="1:13">
      <c r="A47" s="1177"/>
      <c r="B47" s="222" t="s">
        <v>2</v>
      </c>
      <c r="C47" s="222" t="s">
        <v>3</v>
      </c>
      <c r="D47" s="222" t="s">
        <v>4</v>
      </c>
      <c r="E47" s="222" t="s">
        <v>5</v>
      </c>
      <c r="F47" s="222" t="s">
        <v>6</v>
      </c>
      <c r="G47" s="222" t="s">
        <v>170</v>
      </c>
      <c r="H47" s="222" t="s">
        <v>169</v>
      </c>
      <c r="I47" s="4"/>
    </row>
    <row r="48" spans="1:13">
      <c r="A48" s="9" t="str">
        <f t="shared" ref="A48:A56" si="6">B14</f>
        <v>Exotic Vegitables</v>
      </c>
      <c r="B48" s="9">
        <f>H14*90%</f>
        <v>0</v>
      </c>
      <c r="C48" s="9">
        <f t="shared" ref="C48:H63" si="7">(B48/B$46)*C$46</f>
        <v>0</v>
      </c>
      <c r="D48" s="9">
        <f t="shared" si="7"/>
        <v>0</v>
      </c>
      <c r="E48" s="9">
        <f t="shared" si="7"/>
        <v>0</v>
      </c>
      <c r="F48" s="9">
        <f t="shared" si="7"/>
        <v>0</v>
      </c>
      <c r="G48" s="9">
        <f t="shared" si="7"/>
        <v>0</v>
      </c>
      <c r="H48" s="9">
        <f t="shared" si="7"/>
        <v>0</v>
      </c>
    </row>
    <row r="49" spans="1:13">
      <c r="A49" s="9" t="str">
        <f t="shared" si="6"/>
        <v>Tomato</v>
      </c>
      <c r="B49" s="9">
        <f>H15*$B$46</f>
        <v>0</v>
      </c>
      <c r="C49" s="9">
        <f t="shared" si="7"/>
        <v>0</v>
      </c>
      <c r="D49" s="9">
        <f t="shared" si="7"/>
        <v>0</v>
      </c>
      <c r="E49" s="9">
        <f t="shared" si="7"/>
        <v>0</v>
      </c>
      <c r="F49" s="9">
        <f t="shared" si="7"/>
        <v>0</v>
      </c>
      <c r="G49" s="9">
        <f t="shared" si="7"/>
        <v>0</v>
      </c>
      <c r="H49" s="9">
        <f t="shared" si="7"/>
        <v>0</v>
      </c>
    </row>
    <row r="50" spans="1:13">
      <c r="A50" s="9" t="str">
        <f t="shared" si="6"/>
        <v>Okra</v>
      </c>
      <c r="B50" s="9">
        <f>H16*$B$46</f>
        <v>0</v>
      </c>
      <c r="C50" s="9">
        <f t="shared" si="7"/>
        <v>0</v>
      </c>
      <c r="D50" s="9">
        <f t="shared" si="7"/>
        <v>0</v>
      </c>
      <c r="E50" s="9">
        <f t="shared" si="7"/>
        <v>0</v>
      </c>
      <c r="F50" s="9">
        <f t="shared" si="7"/>
        <v>0</v>
      </c>
      <c r="G50" s="9">
        <f t="shared" si="7"/>
        <v>0</v>
      </c>
      <c r="H50" s="9">
        <f t="shared" si="7"/>
        <v>0</v>
      </c>
      <c r="M50" t="s">
        <v>1712</v>
      </c>
    </row>
    <row r="51" spans="1:13">
      <c r="A51" s="9" t="str">
        <f t="shared" si="6"/>
        <v>Chilli</v>
      </c>
      <c r="B51" s="9">
        <f>H17*$B$46</f>
        <v>0</v>
      </c>
      <c r="C51" s="9">
        <f t="shared" si="7"/>
        <v>0</v>
      </c>
      <c r="D51" s="9">
        <f t="shared" si="7"/>
        <v>0</v>
      </c>
      <c r="E51" s="9">
        <f t="shared" si="7"/>
        <v>0</v>
      </c>
      <c r="F51" s="9">
        <f t="shared" si="7"/>
        <v>0</v>
      </c>
      <c r="G51" s="9">
        <f t="shared" si="7"/>
        <v>0</v>
      </c>
      <c r="H51" s="9">
        <f t="shared" si="7"/>
        <v>0</v>
      </c>
    </row>
    <row r="52" spans="1:13">
      <c r="A52" s="9" t="str">
        <f t="shared" si="6"/>
        <v>Potato</v>
      </c>
      <c r="B52" s="9">
        <f>H18*50%</f>
        <v>0</v>
      </c>
      <c r="C52" s="9">
        <f t="shared" si="7"/>
        <v>0</v>
      </c>
      <c r="D52" s="9">
        <f t="shared" si="7"/>
        <v>0</v>
      </c>
      <c r="E52" s="9">
        <f t="shared" si="7"/>
        <v>0</v>
      </c>
      <c r="F52" s="9">
        <f t="shared" si="7"/>
        <v>0</v>
      </c>
      <c r="G52" s="9">
        <f t="shared" si="7"/>
        <v>0</v>
      </c>
      <c r="H52" s="9">
        <f t="shared" si="7"/>
        <v>0</v>
      </c>
    </row>
    <row r="53" spans="1:13">
      <c r="A53" s="9" t="str">
        <f t="shared" si="6"/>
        <v>Cabbage</v>
      </c>
      <c r="B53" s="9">
        <f>H19*$B$46</f>
        <v>0</v>
      </c>
      <c r="C53" s="9">
        <f t="shared" si="7"/>
        <v>0</v>
      </c>
      <c r="D53" s="9">
        <f t="shared" si="7"/>
        <v>0</v>
      </c>
      <c r="E53" s="9">
        <f t="shared" si="7"/>
        <v>0</v>
      </c>
      <c r="F53" s="9">
        <f t="shared" si="7"/>
        <v>0</v>
      </c>
      <c r="G53" s="9">
        <f t="shared" si="7"/>
        <v>0</v>
      </c>
      <c r="H53" s="9">
        <f t="shared" si="7"/>
        <v>0</v>
      </c>
    </row>
    <row r="54" spans="1:13">
      <c r="A54" s="9" t="str">
        <f t="shared" si="6"/>
        <v>Coliflower</v>
      </c>
      <c r="B54" s="9">
        <f>H20*$B$46</f>
        <v>0</v>
      </c>
      <c r="C54" s="9">
        <f t="shared" si="7"/>
        <v>0</v>
      </c>
      <c r="D54" s="9">
        <f t="shared" si="7"/>
        <v>0</v>
      </c>
      <c r="E54" s="9">
        <f t="shared" si="7"/>
        <v>0</v>
      </c>
      <c r="F54" s="9">
        <f t="shared" si="7"/>
        <v>0</v>
      </c>
      <c r="G54" s="9">
        <f t="shared" si="7"/>
        <v>0</v>
      </c>
      <c r="H54" s="9">
        <f t="shared" si="7"/>
        <v>0</v>
      </c>
    </row>
    <row r="55" spans="1:13">
      <c r="A55" s="9" t="str">
        <f t="shared" si="6"/>
        <v>Bitter Gurd</v>
      </c>
      <c r="B55" s="9">
        <f>H21*$B$46</f>
        <v>0</v>
      </c>
      <c r="C55" s="9">
        <f t="shared" si="7"/>
        <v>0</v>
      </c>
      <c r="D55" s="9">
        <f t="shared" si="7"/>
        <v>0</v>
      </c>
      <c r="E55" s="9">
        <f t="shared" si="7"/>
        <v>0</v>
      </c>
      <c r="F55" s="9">
        <f t="shared" si="7"/>
        <v>0</v>
      </c>
      <c r="G55" s="9">
        <f t="shared" si="7"/>
        <v>0</v>
      </c>
      <c r="H55" s="9">
        <f t="shared" si="7"/>
        <v>0</v>
      </c>
    </row>
    <row r="56" spans="1:13">
      <c r="A56" s="9">
        <f t="shared" si="6"/>
        <v>0</v>
      </c>
      <c r="B56" s="9">
        <f>H22*$B$46</f>
        <v>0</v>
      </c>
      <c r="C56" s="9">
        <f t="shared" si="7"/>
        <v>0</v>
      </c>
      <c r="D56" s="9">
        <f t="shared" si="7"/>
        <v>0</v>
      </c>
      <c r="E56" s="9">
        <f t="shared" si="7"/>
        <v>0</v>
      </c>
      <c r="F56" s="9">
        <f t="shared" si="7"/>
        <v>0</v>
      </c>
      <c r="G56" s="9">
        <f t="shared" si="7"/>
        <v>0</v>
      </c>
      <c r="H56" s="9">
        <f t="shared" si="7"/>
        <v>0</v>
      </c>
    </row>
    <row r="57" spans="1:13">
      <c r="A57" s="9" t="str">
        <f t="shared" ref="A57:A64" si="8">B24</f>
        <v>Exotic Vegitables</v>
      </c>
      <c r="B57" s="9">
        <f>H24*90%</f>
        <v>0</v>
      </c>
      <c r="C57" s="9">
        <f t="shared" si="7"/>
        <v>0</v>
      </c>
      <c r="D57" s="9">
        <f t="shared" si="7"/>
        <v>0</v>
      </c>
      <c r="E57" s="9">
        <f t="shared" si="7"/>
        <v>0</v>
      </c>
      <c r="F57" s="9">
        <f t="shared" si="7"/>
        <v>0</v>
      </c>
      <c r="G57" s="9">
        <f t="shared" si="7"/>
        <v>0</v>
      </c>
      <c r="H57" s="9">
        <f t="shared" si="7"/>
        <v>0</v>
      </c>
    </row>
    <row r="58" spans="1:13">
      <c r="A58" s="9" t="str">
        <f t="shared" si="8"/>
        <v>Tomato</v>
      </c>
      <c r="B58" s="9">
        <f t="shared" ref="B58:B64" si="9">H25*$B$46</f>
        <v>0</v>
      </c>
      <c r="C58" s="9">
        <f t="shared" si="7"/>
        <v>0</v>
      </c>
      <c r="D58" s="9">
        <f t="shared" si="7"/>
        <v>0</v>
      </c>
      <c r="E58" s="9">
        <f t="shared" si="7"/>
        <v>0</v>
      </c>
      <c r="F58" s="9">
        <f t="shared" si="7"/>
        <v>0</v>
      </c>
      <c r="G58" s="9">
        <f t="shared" si="7"/>
        <v>0</v>
      </c>
      <c r="H58" s="9">
        <f t="shared" si="7"/>
        <v>0</v>
      </c>
    </row>
    <row r="59" spans="1:13">
      <c r="A59" s="9" t="str">
        <f t="shared" si="8"/>
        <v>Okra</v>
      </c>
      <c r="B59" s="9">
        <f t="shared" si="9"/>
        <v>0</v>
      </c>
      <c r="C59" s="9">
        <f t="shared" si="7"/>
        <v>0</v>
      </c>
      <c r="D59" s="9">
        <f t="shared" si="7"/>
        <v>0</v>
      </c>
      <c r="E59" s="9">
        <f t="shared" si="7"/>
        <v>0</v>
      </c>
      <c r="F59" s="9">
        <f t="shared" si="7"/>
        <v>0</v>
      </c>
      <c r="G59" s="9">
        <f t="shared" si="7"/>
        <v>0</v>
      </c>
      <c r="H59" s="9">
        <f t="shared" si="7"/>
        <v>0</v>
      </c>
    </row>
    <row r="60" spans="1:13">
      <c r="A60" s="9" t="str">
        <f t="shared" si="8"/>
        <v>Chilli</v>
      </c>
      <c r="B60" s="9">
        <f t="shared" si="9"/>
        <v>0</v>
      </c>
      <c r="C60" s="9">
        <f t="shared" si="7"/>
        <v>0</v>
      </c>
      <c r="D60" s="9">
        <f t="shared" si="7"/>
        <v>0</v>
      </c>
      <c r="E60" s="9">
        <f t="shared" si="7"/>
        <v>0</v>
      </c>
      <c r="F60" s="9">
        <f t="shared" si="7"/>
        <v>0</v>
      </c>
      <c r="G60" s="9">
        <f t="shared" si="7"/>
        <v>0</v>
      </c>
      <c r="H60" s="9">
        <f t="shared" si="7"/>
        <v>0</v>
      </c>
    </row>
    <row r="61" spans="1:13">
      <c r="A61" s="9" t="str">
        <f t="shared" si="8"/>
        <v>Brinjal</v>
      </c>
      <c r="B61" s="9">
        <f t="shared" si="9"/>
        <v>0</v>
      </c>
      <c r="C61" s="9">
        <f t="shared" si="7"/>
        <v>0</v>
      </c>
      <c r="D61" s="9">
        <f t="shared" si="7"/>
        <v>0</v>
      </c>
      <c r="E61" s="9">
        <f t="shared" si="7"/>
        <v>0</v>
      </c>
      <c r="F61" s="9">
        <f t="shared" si="7"/>
        <v>0</v>
      </c>
      <c r="G61" s="9">
        <f t="shared" si="7"/>
        <v>0</v>
      </c>
      <c r="H61" s="9">
        <f t="shared" si="7"/>
        <v>0</v>
      </c>
    </row>
    <row r="62" spans="1:13">
      <c r="A62" s="9" t="str">
        <f t="shared" si="8"/>
        <v>Ginger</v>
      </c>
      <c r="B62" s="9">
        <f t="shared" si="9"/>
        <v>0</v>
      </c>
      <c r="C62" s="9">
        <f t="shared" si="7"/>
        <v>0</v>
      </c>
      <c r="D62" s="9">
        <f t="shared" si="7"/>
        <v>0</v>
      </c>
      <c r="E62" s="9">
        <f t="shared" si="7"/>
        <v>0</v>
      </c>
      <c r="F62" s="9">
        <f t="shared" si="7"/>
        <v>0</v>
      </c>
      <c r="G62" s="9">
        <f t="shared" si="7"/>
        <v>0</v>
      </c>
      <c r="H62" s="9">
        <f t="shared" si="7"/>
        <v>0</v>
      </c>
    </row>
    <row r="63" spans="1:13">
      <c r="A63" s="9">
        <f t="shared" si="8"/>
        <v>0</v>
      </c>
      <c r="B63" s="9">
        <f t="shared" si="9"/>
        <v>0</v>
      </c>
      <c r="C63" s="9">
        <f t="shared" si="7"/>
        <v>0</v>
      </c>
      <c r="D63" s="9">
        <f t="shared" si="7"/>
        <v>0</v>
      </c>
      <c r="E63" s="9">
        <f t="shared" si="7"/>
        <v>0</v>
      </c>
      <c r="F63" s="9">
        <f t="shared" si="7"/>
        <v>0</v>
      </c>
      <c r="G63" s="9">
        <f t="shared" si="7"/>
        <v>0</v>
      </c>
      <c r="H63" s="9">
        <f t="shared" si="7"/>
        <v>0</v>
      </c>
    </row>
    <row r="64" spans="1:13">
      <c r="A64" s="9">
        <f t="shared" si="8"/>
        <v>0</v>
      </c>
      <c r="B64" s="9">
        <f t="shared" si="9"/>
        <v>0</v>
      </c>
      <c r="C64" s="9">
        <f t="shared" ref="C64:H64" si="10">(B64/B$46)*C$46</f>
        <v>0</v>
      </c>
      <c r="D64" s="9">
        <f t="shared" si="10"/>
        <v>0</v>
      </c>
      <c r="E64" s="9">
        <f t="shared" si="10"/>
        <v>0</v>
      </c>
      <c r="F64" s="9">
        <f t="shared" si="10"/>
        <v>0</v>
      </c>
      <c r="G64" s="9">
        <f t="shared" si="10"/>
        <v>0</v>
      </c>
      <c r="H64" s="9">
        <f t="shared" si="10"/>
        <v>0</v>
      </c>
    </row>
    <row r="65" spans="1:14">
      <c r="A65" s="9" t="str">
        <f>B33</f>
        <v>Spinach</v>
      </c>
      <c r="B65" s="9">
        <f>H33*$B$46</f>
        <v>0</v>
      </c>
      <c r="C65" s="9">
        <f>(B65/B$46)*C$46</f>
        <v>0</v>
      </c>
      <c r="D65" s="9">
        <f t="shared" ref="D65:H68" si="11">(C65/C$46)*D$46</f>
        <v>0</v>
      </c>
      <c r="E65" s="9">
        <f t="shared" si="11"/>
        <v>0</v>
      </c>
      <c r="F65" s="9">
        <f t="shared" si="11"/>
        <v>0</v>
      </c>
      <c r="G65" s="9">
        <f t="shared" si="11"/>
        <v>0</v>
      </c>
      <c r="H65" s="9">
        <f t="shared" si="11"/>
        <v>0</v>
      </c>
      <c r="J65">
        <f>20*365</f>
        <v>7300</v>
      </c>
    </row>
    <row r="66" spans="1:14">
      <c r="A66" s="9" t="str">
        <f>B34</f>
        <v>Fenugreek</v>
      </c>
      <c r="B66" s="9">
        <f>H34*$B$46</f>
        <v>0</v>
      </c>
      <c r="C66" s="9">
        <f>(B66/B$46)*C$46</f>
        <v>0</v>
      </c>
      <c r="D66" s="9">
        <f t="shared" si="11"/>
        <v>0</v>
      </c>
      <c r="E66" s="9">
        <f t="shared" si="11"/>
        <v>0</v>
      </c>
      <c r="F66" s="9">
        <f t="shared" si="11"/>
        <v>0</v>
      </c>
      <c r="G66" s="9">
        <f t="shared" si="11"/>
        <v>0</v>
      </c>
      <c r="H66" s="9">
        <f t="shared" si="11"/>
        <v>0</v>
      </c>
    </row>
    <row r="67" spans="1:14">
      <c r="A67" s="9" t="str">
        <f>B35</f>
        <v>coriander</v>
      </c>
      <c r="B67" s="9">
        <f>H35*$B$46</f>
        <v>0</v>
      </c>
      <c r="C67" s="9">
        <f>(B67/B$46)*C$46</f>
        <v>0</v>
      </c>
      <c r="D67" s="9">
        <f t="shared" si="11"/>
        <v>0</v>
      </c>
      <c r="E67" s="9">
        <f t="shared" si="11"/>
        <v>0</v>
      </c>
      <c r="F67" s="9">
        <f t="shared" si="11"/>
        <v>0</v>
      </c>
      <c r="G67" s="9">
        <f t="shared" si="11"/>
        <v>0</v>
      </c>
      <c r="H67" s="9">
        <f t="shared" si="11"/>
        <v>0</v>
      </c>
    </row>
    <row r="68" spans="1:14">
      <c r="A68" s="9" t="str">
        <f>B37</f>
        <v>Shepu</v>
      </c>
      <c r="B68" s="9">
        <f>H37*$B$46</f>
        <v>0</v>
      </c>
      <c r="C68" s="9">
        <f>(B68/B$46)*C$46</f>
        <v>0</v>
      </c>
      <c r="D68" s="9">
        <f t="shared" si="11"/>
        <v>0</v>
      </c>
      <c r="E68" s="9">
        <f t="shared" si="11"/>
        <v>0</v>
      </c>
      <c r="F68" s="9">
        <f t="shared" si="11"/>
        <v>0</v>
      </c>
      <c r="G68" s="9">
        <f t="shared" si="11"/>
        <v>0</v>
      </c>
      <c r="H68" s="9">
        <f t="shared" si="11"/>
        <v>0</v>
      </c>
    </row>
    <row r="69" spans="1:14">
      <c r="A69" s="9"/>
      <c r="B69" s="9"/>
      <c r="C69" s="9"/>
      <c r="D69" s="9"/>
      <c r="E69" s="9"/>
      <c r="F69" s="9"/>
      <c r="G69" s="9"/>
      <c r="H69" s="9"/>
    </row>
    <row r="70" spans="1:14">
      <c r="A70" s="9" t="str">
        <f>B38</f>
        <v>Pomegranate</v>
      </c>
      <c r="B70" s="9">
        <f>H38*50%</f>
        <v>0</v>
      </c>
      <c r="C70" s="9">
        <f t="shared" ref="C70:H74" si="12">(B70/B$46)*C$46</f>
        <v>0</v>
      </c>
      <c r="D70" s="9">
        <f t="shared" si="12"/>
        <v>0</v>
      </c>
      <c r="E70" s="9">
        <f t="shared" si="12"/>
        <v>0</v>
      </c>
      <c r="F70" s="9">
        <f t="shared" si="12"/>
        <v>0</v>
      </c>
      <c r="G70" s="9">
        <f t="shared" si="12"/>
        <v>0</v>
      </c>
      <c r="H70" s="9">
        <f t="shared" si="12"/>
        <v>0</v>
      </c>
    </row>
    <row r="71" spans="1:14">
      <c r="A71" s="9" t="str">
        <f>B39</f>
        <v>Banana</v>
      </c>
      <c r="B71" s="9">
        <f>H39*50%</f>
        <v>0</v>
      </c>
      <c r="C71" s="9">
        <f t="shared" si="12"/>
        <v>0</v>
      </c>
      <c r="D71" s="9">
        <f t="shared" si="12"/>
        <v>0</v>
      </c>
      <c r="E71" s="9">
        <f t="shared" si="12"/>
        <v>0</v>
      </c>
      <c r="F71" s="9">
        <f t="shared" si="12"/>
        <v>0</v>
      </c>
      <c r="G71" s="9">
        <f t="shared" si="12"/>
        <v>0</v>
      </c>
      <c r="H71" s="9">
        <f t="shared" si="12"/>
        <v>0</v>
      </c>
    </row>
    <row r="72" spans="1:14">
      <c r="A72" s="9" t="str">
        <f>B40</f>
        <v>Graps</v>
      </c>
      <c r="B72" s="9">
        <f>H40*50%</f>
        <v>0</v>
      </c>
      <c r="C72" s="9">
        <f t="shared" si="12"/>
        <v>0</v>
      </c>
      <c r="D72" s="9">
        <f t="shared" si="12"/>
        <v>0</v>
      </c>
      <c r="E72" s="9">
        <f t="shared" si="12"/>
        <v>0</v>
      </c>
      <c r="F72" s="9">
        <f t="shared" si="12"/>
        <v>0</v>
      </c>
      <c r="G72" s="9">
        <f t="shared" si="12"/>
        <v>0</v>
      </c>
      <c r="H72" s="9">
        <f t="shared" si="12"/>
        <v>0</v>
      </c>
    </row>
    <row r="73" spans="1:14">
      <c r="A73" s="9" t="str">
        <f>+B41</f>
        <v>Mango</v>
      </c>
      <c r="B73" s="9">
        <f>H41*50%</f>
        <v>0</v>
      </c>
      <c r="C73" s="9">
        <f t="shared" si="12"/>
        <v>0</v>
      </c>
      <c r="D73" s="9">
        <f t="shared" si="12"/>
        <v>0</v>
      </c>
      <c r="E73" s="9">
        <f t="shared" si="12"/>
        <v>0</v>
      </c>
      <c r="F73" s="9">
        <f t="shared" si="12"/>
        <v>0</v>
      </c>
      <c r="G73" s="9">
        <f t="shared" si="12"/>
        <v>0</v>
      </c>
      <c r="H73" s="9">
        <f t="shared" si="12"/>
        <v>0</v>
      </c>
    </row>
    <row r="74" spans="1:14">
      <c r="A74" s="9" t="str">
        <f>B42</f>
        <v>Citrus</v>
      </c>
      <c r="B74" s="9">
        <f>H42*50%</f>
        <v>0</v>
      </c>
      <c r="C74" s="9">
        <f t="shared" si="12"/>
        <v>0</v>
      </c>
      <c r="D74" s="9">
        <f t="shared" si="12"/>
        <v>0</v>
      </c>
      <c r="E74" s="9">
        <f t="shared" si="12"/>
        <v>0</v>
      </c>
      <c r="F74" s="9">
        <f t="shared" si="12"/>
        <v>0</v>
      </c>
      <c r="G74" s="9">
        <f t="shared" si="12"/>
        <v>0</v>
      </c>
      <c r="H74" s="9">
        <f t="shared" si="12"/>
        <v>0</v>
      </c>
      <c r="N74">
        <f>20*365</f>
        <v>7300</v>
      </c>
    </row>
    <row r="75" spans="1:14" ht="18.75">
      <c r="A75" s="1178" t="s">
        <v>2012</v>
      </c>
      <c r="B75" s="1179"/>
      <c r="C75" s="1179"/>
      <c r="D75" s="1179"/>
      <c r="E75" s="1179"/>
      <c r="F75" s="1179"/>
      <c r="G75" s="1179"/>
      <c r="H75" s="1180"/>
    </row>
    <row r="76" spans="1:14">
      <c r="A76" s="1181" t="s">
        <v>0</v>
      </c>
      <c r="B76" s="228">
        <v>0.8</v>
      </c>
      <c r="C76" s="228">
        <f t="shared" ref="C76:H76" si="13">+B76+5%</f>
        <v>0.85000000000000009</v>
      </c>
      <c r="D76" s="228">
        <f t="shared" si="13"/>
        <v>0.90000000000000013</v>
      </c>
      <c r="E76" s="228">
        <f t="shared" si="13"/>
        <v>0.95000000000000018</v>
      </c>
      <c r="F76" s="228">
        <f t="shared" si="13"/>
        <v>1.0000000000000002</v>
      </c>
      <c r="G76" s="228">
        <f t="shared" si="13"/>
        <v>1.0500000000000003</v>
      </c>
      <c r="H76" s="228">
        <f t="shared" si="13"/>
        <v>1.1000000000000003</v>
      </c>
    </row>
    <row r="77" spans="1:14">
      <c r="A77" s="1182"/>
      <c r="B77" s="222" t="s">
        <v>2</v>
      </c>
      <c r="C77" s="222" t="s">
        <v>3</v>
      </c>
      <c r="D77" s="222" t="s">
        <v>4</v>
      </c>
      <c r="E77" s="222" t="s">
        <v>5</v>
      </c>
      <c r="F77" s="222" t="s">
        <v>6</v>
      </c>
      <c r="G77" s="222" t="s">
        <v>170</v>
      </c>
      <c r="H77" s="222" t="s">
        <v>169</v>
      </c>
    </row>
    <row r="78" spans="1:14">
      <c r="A78" s="9" t="str">
        <f t="shared" ref="A78:A98" si="14">A48</f>
        <v>Exotic Vegitables</v>
      </c>
      <c r="B78" s="9">
        <v>0</v>
      </c>
      <c r="C78" s="9">
        <f t="shared" ref="C78:H78" si="15">(B78/B76)*C76</f>
        <v>0</v>
      </c>
      <c r="D78" s="9">
        <f t="shared" si="15"/>
        <v>0</v>
      </c>
      <c r="E78" s="9">
        <f t="shared" si="15"/>
        <v>0</v>
      </c>
      <c r="F78" s="9">
        <f t="shared" si="15"/>
        <v>0</v>
      </c>
      <c r="G78" s="9">
        <f t="shared" si="15"/>
        <v>0</v>
      </c>
      <c r="H78" s="9">
        <f t="shared" si="15"/>
        <v>0</v>
      </c>
    </row>
    <row r="79" spans="1:14">
      <c r="A79" s="9" t="str">
        <f t="shared" si="14"/>
        <v>Tomato</v>
      </c>
      <c r="B79" s="9">
        <f t="shared" ref="B79:B86" si="16">+H15-B49</f>
        <v>0</v>
      </c>
      <c r="C79" s="9">
        <f t="shared" ref="C79:H79" si="17">(B79/B76)*C76</f>
        <v>0</v>
      </c>
      <c r="D79" s="9">
        <f t="shared" si="17"/>
        <v>0</v>
      </c>
      <c r="E79" s="9">
        <f t="shared" si="17"/>
        <v>0</v>
      </c>
      <c r="F79" s="9">
        <f t="shared" si="17"/>
        <v>0</v>
      </c>
      <c r="G79" s="9">
        <f t="shared" si="17"/>
        <v>0</v>
      </c>
      <c r="H79" s="9">
        <f t="shared" si="17"/>
        <v>0</v>
      </c>
    </row>
    <row r="80" spans="1:14">
      <c r="A80" s="9" t="str">
        <f t="shared" si="14"/>
        <v>Okra</v>
      </c>
      <c r="B80" s="9">
        <f t="shared" si="16"/>
        <v>0</v>
      </c>
      <c r="C80" s="9">
        <f t="shared" ref="C80:H80" si="18">(B80/B76)*C76</f>
        <v>0</v>
      </c>
      <c r="D80" s="9">
        <f t="shared" si="18"/>
        <v>0</v>
      </c>
      <c r="E80" s="9">
        <f t="shared" si="18"/>
        <v>0</v>
      </c>
      <c r="F80" s="9">
        <f t="shared" si="18"/>
        <v>0</v>
      </c>
      <c r="G80" s="9">
        <f t="shared" si="18"/>
        <v>0</v>
      </c>
      <c r="H80" s="9">
        <f t="shared" si="18"/>
        <v>0</v>
      </c>
    </row>
    <row r="81" spans="1:8">
      <c r="A81" s="9" t="str">
        <f t="shared" si="14"/>
        <v>Chilli</v>
      </c>
      <c r="B81" s="9">
        <f t="shared" si="16"/>
        <v>0</v>
      </c>
      <c r="C81" s="9">
        <f t="shared" ref="C81:H100" si="19">(B81/B$76)*C$76</f>
        <v>0</v>
      </c>
      <c r="D81" s="9">
        <f t="shared" si="19"/>
        <v>0</v>
      </c>
      <c r="E81" s="9">
        <f t="shared" si="19"/>
        <v>0</v>
      </c>
      <c r="F81" s="9">
        <f t="shared" si="19"/>
        <v>0</v>
      </c>
      <c r="G81" s="9">
        <f t="shared" si="19"/>
        <v>0</v>
      </c>
      <c r="H81" s="9">
        <f t="shared" si="19"/>
        <v>0</v>
      </c>
    </row>
    <row r="82" spans="1:8">
      <c r="A82" s="9" t="str">
        <f t="shared" si="14"/>
        <v>Potato</v>
      </c>
      <c r="B82" s="9">
        <f t="shared" si="16"/>
        <v>0</v>
      </c>
      <c r="C82" s="9">
        <f t="shared" si="19"/>
        <v>0</v>
      </c>
      <c r="D82" s="9">
        <f t="shared" si="19"/>
        <v>0</v>
      </c>
      <c r="E82" s="9">
        <f t="shared" si="19"/>
        <v>0</v>
      </c>
      <c r="F82" s="9">
        <f t="shared" si="19"/>
        <v>0</v>
      </c>
      <c r="G82" s="9">
        <f t="shared" si="19"/>
        <v>0</v>
      </c>
      <c r="H82" s="9">
        <f t="shared" si="19"/>
        <v>0</v>
      </c>
    </row>
    <row r="83" spans="1:8">
      <c r="A83" s="9" t="str">
        <f t="shared" si="14"/>
        <v>Cabbage</v>
      </c>
      <c r="B83" s="9">
        <f t="shared" si="16"/>
        <v>0</v>
      </c>
      <c r="C83" s="9">
        <f t="shared" si="19"/>
        <v>0</v>
      </c>
      <c r="D83" s="9">
        <f t="shared" si="19"/>
        <v>0</v>
      </c>
      <c r="E83" s="9">
        <f t="shared" si="19"/>
        <v>0</v>
      </c>
      <c r="F83" s="9">
        <f t="shared" si="19"/>
        <v>0</v>
      </c>
      <c r="G83" s="9">
        <f t="shared" si="19"/>
        <v>0</v>
      </c>
      <c r="H83" s="9">
        <f t="shared" si="19"/>
        <v>0</v>
      </c>
    </row>
    <row r="84" spans="1:8">
      <c r="A84" s="9" t="str">
        <f t="shared" si="14"/>
        <v>Coliflower</v>
      </c>
      <c r="B84" s="9">
        <f t="shared" si="16"/>
        <v>0</v>
      </c>
      <c r="C84" s="9">
        <f t="shared" si="19"/>
        <v>0</v>
      </c>
      <c r="D84" s="9">
        <f t="shared" si="19"/>
        <v>0</v>
      </c>
      <c r="E84" s="9">
        <f t="shared" si="19"/>
        <v>0</v>
      </c>
      <c r="F84" s="9">
        <f t="shared" si="19"/>
        <v>0</v>
      </c>
      <c r="G84" s="9">
        <f t="shared" si="19"/>
        <v>0</v>
      </c>
      <c r="H84" s="9">
        <f t="shared" si="19"/>
        <v>0</v>
      </c>
    </row>
    <row r="85" spans="1:8">
      <c r="A85" s="9" t="str">
        <f t="shared" si="14"/>
        <v>Bitter Gurd</v>
      </c>
      <c r="B85" s="9">
        <f t="shared" si="16"/>
        <v>0</v>
      </c>
      <c r="C85" s="9">
        <f t="shared" si="19"/>
        <v>0</v>
      </c>
      <c r="D85" s="9">
        <f t="shared" si="19"/>
        <v>0</v>
      </c>
      <c r="E85" s="9">
        <f t="shared" si="19"/>
        <v>0</v>
      </c>
      <c r="F85" s="9">
        <f t="shared" si="19"/>
        <v>0</v>
      </c>
      <c r="G85" s="9">
        <f t="shared" si="19"/>
        <v>0</v>
      </c>
      <c r="H85" s="9">
        <f t="shared" si="19"/>
        <v>0</v>
      </c>
    </row>
    <row r="86" spans="1:8">
      <c r="A86" s="9">
        <f t="shared" si="14"/>
        <v>0</v>
      </c>
      <c r="B86" s="9">
        <f t="shared" si="16"/>
        <v>0</v>
      </c>
      <c r="C86" s="9">
        <f t="shared" si="19"/>
        <v>0</v>
      </c>
      <c r="D86" s="9">
        <f t="shared" si="19"/>
        <v>0</v>
      </c>
      <c r="E86" s="9">
        <f t="shared" si="19"/>
        <v>0</v>
      </c>
      <c r="F86" s="9">
        <f t="shared" si="19"/>
        <v>0</v>
      </c>
      <c r="G86" s="9">
        <f t="shared" si="19"/>
        <v>0</v>
      </c>
      <c r="H86" s="9">
        <f t="shared" si="19"/>
        <v>0</v>
      </c>
    </row>
    <row r="87" spans="1:8">
      <c r="A87" s="9" t="str">
        <f t="shared" si="14"/>
        <v>Exotic Vegitables</v>
      </c>
      <c r="B87" s="9">
        <v>0</v>
      </c>
      <c r="C87" s="9">
        <f t="shared" si="19"/>
        <v>0</v>
      </c>
      <c r="D87" s="9">
        <f t="shared" si="19"/>
        <v>0</v>
      </c>
      <c r="E87" s="9">
        <f t="shared" si="19"/>
        <v>0</v>
      </c>
      <c r="F87" s="9">
        <f t="shared" si="19"/>
        <v>0</v>
      </c>
      <c r="G87" s="9">
        <f t="shared" si="19"/>
        <v>0</v>
      </c>
      <c r="H87" s="9">
        <f t="shared" si="19"/>
        <v>0</v>
      </c>
    </row>
    <row r="88" spans="1:8">
      <c r="A88" s="9" t="str">
        <f t="shared" si="14"/>
        <v>Tomato</v>
      </c>
      <c r="B88" s="9">
        <f t="shared" ref="B88:B93" si="20">+H25-B58</f>
        <v>0</v>
      </c>
      <c r="C88" s="9">
        <f t="shared" si="19"/>
        <v>0</v>
      </c>
      <c r="D88" s="9">
        <f t="shared" si="19"/>
        <v>0</v>
      </c>
      <c r="E88" s="9">
        <f t="shared" si="19"/>
        <v>0</v>
      </c>
      <c r="F88" s="9">
        <f t="shared" si="19"/>
        <v>0</v>
      </c>
      <c r="G88" s="9">
        <f t="shared" si="19"/>
        <v>0</v>
      </c>
      <c r="H88" s="9">
        <f t="shared" si="19"/>
        <v>0</v>
      </c>
    </row>
    <row r="89" spans="1:8">
      <c r="A89" s="9" t="str">
        <f t="shared" si="14"/>
        <v>Okra</v>
      </c>
      <c r="B89" s="9">
        <f t="shared" si="20"/>
        <v>0</v>
      </c>
      <c r="C89" s="9">
        <f t="shared" si="19"/>
        <v>0</v>
      </c>
      <c r="D89" s="9">
        <f t="shared" si="19"/>
        <v>0</v>
      </c>
      <c r="E89" s="9">
        <f t="shared" si="19"/>
        <v>0</v>
      </c>
      <c r="F89" s="9">
        <f t="shared" si="19"/>
        <v>0</v>
      </c>
      <c r="G89" s="9">
        <f t="shared" si="19"/>
        <v>0</v>
      </c>
      <c r="H89" s="9">
        <f t="shared" si="19"/>
        <v>0</v>
      </c>
    </row>
    <row r="90" spans="1:8">
      <c r="A90" s="9" t="str">
        <f t="shared" si="14"/>
        <v>Chilli</v>
      </c>
      <c r="B90" s="9">
        <f t="shared" si="20"/>
        <v>0</v>
      </c>
      <c r="C90" s="9">
        <f t="shared" si="19"/>
        <v>0</v>
      </c>
      <c r="D90" s="9">
        <f t="shared" si="19"/>
        <v>0</v>
      </c>
      <c r="E90" s="9">
        <f t="shared" si="19"/>
        <v>0</v>
      </c>
      <c r="F90" s="9">
        <f t="shared" si="19"/>
        <v>0</v>
      </c>
      <c r="G90" s="9">
        <f t="shared" si="19"/>
        <v>0</v>
      </c>
      <c r="H90" s="9">
        <f t="shared" si="19"/>
        <v>0</v>
      </c>
    </row>
    <row r="91" spans="1:8">
      <c r="A91" s="9" t="str">
        <f t="shared" si="14"/>
        <v>Brinjal</v>
      </c>
      <c r="B91" s="9">
        <f t="shared" si="20"/>
        <v>0</v>
      </c>
      <c r="C91" s="9">
        <f t="shared" si="19"/>
        <v>0</v>
      </c>
      <c r="D91" s="9">
        <f t="shared" si="19"/>
        <v>0</v>
      </c>
      <c r="E91" s="9">
        <f t="shared" si="19"/>
        <v>0</v>
      </c>
      <c r="F91" s="9">
        <f t="shared" si="19"/>
        <v>0</v>
      </c>
      <c r="G91" s="9">
        <f t="shared" si="19"/>
        <v>0</v>
      </c>
      <c r="H91" s="9">
        <f t="shared" si="19"/>
        <v>0</v>
      </c>
    </row>
    <row r="92" spans="1:8">
      <c r="A92" s="9" t="str">
        <f t="shared" si="14"/>
        <v>Ginger</v>
      </c>
      <c r="B92" s="9">
        <f t="shared" si="20"/>
        <v>0</v>
      </c>
      <c r="C92" s="9">
        <f t="shared" si="19"/>
        <v>0</v>
      </c>
      <c r="D92" s="9">
        <f t="shared" si="19"/>
        <v>0</v>
      </c>
      <c r="E92" s="9">
        <f t="shared" si="19"/>
        <v>0</v>
      </c>
      <c r="F92" s="9">
        <f t="shared" si="19"/>
        <v>0</v>
      </c>
      <c r="G92" s="9">
        <f t="shared" si="19"/>
        <v>0</v>
      </c>
      <c r="H92" s="9">
        <f t="shared" si="19"/>
        <v>0</v>
      </c>
    </row>
    <row r="93" spans="1:8">
      <c r="A93" s="9">
        <f t="shared" si="14"/>
        <v>0</v>
      </c>
      <c r="B93" s="9">
        <f t="shared" si="20"/>
        <v>0</v>
      </c>
      <c r="C93" s="9">
        <f t="shared" si="19"/>
        <v>0</v>
      </c>
      <c r="D93" s="9">
        <f t="shared" si="19"/>
        <v>0</v>
      </c>
      <c r="E93" s="9">
        <f t="shared" si="19"/>
        <v>0</v>
      </c>
      <c r="F93" s="9">
        <f t="shared" si="19"/>
        <v>0</v>
      </c>
      <c r="G93" s="9">
        <f t="shared" si="19"/>
        <v>0</v>
      </c>
      <c r="H93" s="9">
        <f t="shared" si="19"/>
        <v>0</v>
      </c>
    </row>
    <row r="94" spans="1:8">
      <c r="A94" s="9">
        <f t="shared" si="14"/>
        <v>0</v>
      </c>
      <c r="B94" s="9">
        <f>+H30-B64</f>
        <v>0</v>
      </c>
      <c r="C94" s="9">
        <f t="shared" si="19"/>
        <v>0</v>
      </c>
      <c r="D94" s="9">
        <f t="shared" si="19"/>
        <v>0</v>
      </c>
      <c r="E94" s="9">
        <f t="shared" si="19"/>
        <v>0</v>
      </c>
      <c r="F94" s="9">
        <f t="shared" si="19"/>
        <v>0</v>
      </c>
      <c r="G94" s="9">
        <f t="shared" si="19"/>
        <v>0</v>
      </c>
      <c r="H94" s="9">
        <f t="shared" si="19"/>
        <v>0</v>
      </c>
    </row>
    <row r="95" spans="1:8">
      <c r="A95" s="9" t="str">
        <f t="shared" si="14"/>
        <v>Spinach</v>
      </c>
      <c r="B95" s="9">
        <f>+H33-B65</f>
        <v>0</v>
      </c>
      <c r="C95" s="9">
        <f t="shared" si="19"/>
        <v>0</v>
      </c>
      <c r="D95" s="9">
        <f t="shared" ref="D95:G98" si="21">(C95/C$76)*D$76</f>
        <v>0</v>
      </c>
      <c r="E95" s="9">
        <f t="shared" si="21"/>
        <v>0</v>
      </c>
      <c r="F95" s="9">
        <f t="shared" si="21"/>
        <v>0</v>
      </c>
      <c r="G95" s="9">
        <f t="shared" si="21"/>
        <v>0</v>
      </c>
      <c r="H95" s="9">
        <f t="shared" si="19"/>
        <v>0</v>
      </c>
    </row>
    <row r="96" spans="1:8">
      <c r="A96" s="9" t="str">
        <f t="shared" si="14"/>
        <v>Fenugreek</v>
      </c>
      <c r="B96" s="9">
        <f>+H34-B66</f>
        <v>0</v>
      </c>
      <c r="C96" s="9">
        <f t="shared" si="19"/>
        <v>0</v>
      </c>
      <c r="D96" s="9">
        <f t="shared" si="21"/>
        <v>0</v>
      </c>
      <c r="E96" s="9">
        <f t="shared" si="21"/>
        <v>0</v>
      </c>
      <c r="F96" s="9">
        <f t="shared" si="21"/>
        <v>0</v>
      </c>
      <c r="G96" s="9">
        <f t="shared" si="21"/>
        <v>0</v>
      </c>
      <c r="H96" s="9"/>
    </row>
    <row r="97" spans="1:8">
      <c r="A97" s="9" t="str">
        <f t="shared" si="14"/>
        <v>coriander</v>
      </c>
      <c r="B97" s="9">
        <f>+H35-B67</f>
        <v>0</v>
      </c>
      <c r="C97" s="9">
        <f t="shared" si="19"/>
        <v>0</v>
      </c>
      <c r="D97" s="9">
        <f t="shared" si="21"/>
        <v>0</v>
      </c>
      <c r="E97" s="9">
        <f t="shared" si="21"/>
        <v>0</v>
      </c>
      <c r="F97" s="9">
        <f t="shared" si="21"/>
        <v>0</v>
      </c>
      <c r="G97" s="9">
        <f t="shared" si="21"/>
        <v>0</v>
      </c>
      <c r="H97" s="9"/>
    </row>
    <row r="98" spans="1:8">
      <c r="A98" s="9" t="str">
        <f t="shared" si="14"/>
        <v>Shepu</v>
      </c>
      <c r="B98" s="9">
        <f>+H37-B68</f>
        <v>0</v>
      </c>
      <c r="C98" s="9">
        <f t="shared" si="19"/>
        <v>0</v>
      </c>
      <c r="D98" s="9">
        <f t="shared" si="21"/>
        <v>0</v>
      </c>
      <c r="E98" s="9">
        <f t="shared" si="21"/>
        <v>0</v>
      </c>
      <c r="F98" s="9">
        <f t="shared" si="21"/>
        <v>0</v>
      </c>
      <c r="G98" s="9">
        <f t="shared" si="21"/>
        <v>0</v>
      </c>
      <c r="H98" s="9"/>
    </row>
    <row r="99" spans="1:8">
      <c r="A99" s="9"/>
      <c r="B99" s="9"/>
      <c r="C99" s="9"/>
      <c r="D99" s="9"/>
      <c r="E99" s="9"/>
      <c r="F99" s="9"/>
      <c r="G99" s="9"/>
      <c r="H99" s="9"/>
    </row>
    <row r="100" spans="1:8">
      <c r="A100" s="9" t="str">
        <f>A70</f>
        <v>Pomegranate</v>
      </c>
      <c r="B100" s="9">
        <f>+H38-B70</f>
        <v>0</v>
      </c>
      <c r="C100" s="9">
        <f t="shared" si="19"/>
        <v>0</v>
      </c>
      <c r="D100" s="9">
        <f t="shared" si="19"/>
        <v>0</v>
      </c>
      <c r="E100" s="9">
        <f t="shared" si="19"/>
        <v>0</v>
      </c>
      <c r="F100" s="9">
        <f t="shared" si="19"/>
        <v>0</v>
      </c>
      <c r="G100" s="9">
        <f t="shared" si="19"/>
        <v>0</v>
      </c>
      <c r="H100" s="9">
        <f t="shared" si="19"/>
        <v>0</v>
      </c>
    </row>
    <row r="101" spans="1:8">
      <c r="A101" s="9" t="str">
        <f>A71</f>
        <v>Banana</v>
      </c>
      <c r="B101" s="9">
        <f>+H39-B71</f>
        <v>0</v>
      </c>
      <c r="C101" s="9">
        <f t="shared" ref="C101:H104" si="22">(B101/B$76)*C$76</f>
        <v>0</v>
      </c>
      <c r="D101" s="9">
        <f t="shared" si="22"/>
        <v>0</v>
      </c>
      <c r="E101" s="9">
        <f t="shared" si="22"/>
        <v>0</v>
      </c>
      <c r="F101" s="9">
        <f t="shared" si="22"/>
        <v>0</v>
      </c>
      <c r="G101" s="9">
        <f t="shared" si="22"/>
        <v>0</v>
      </c>
      <c r="H101" s="9">
        <f t="shared" si="22"/>
        <v>0</v>
      </c>
    </row>
    <row r="102" spans="1:8">
      <c r="A102" s="9" t="str">
        <f>A72</f>
        <v>Graps</v>
      </c>
      <c r="B102" s="9">
        <f>+H40-B72</f>
        <v>0</v>
      </c>
      <c r="C102" s="9">
        <f t="shared" si="22"/>
        <v>0</v>
      </c>
      <c r="D102" s="9">
        <f t="shared" si="22"/>
        <v>0</v>
      </c>
      <c r="E102" s="9">
        <f t="shared" si="22"/>
        <v>0</v>
      </c>
      <c r="F102" s="9">
        <f t="shared" si="22"/>
        <v>0</v>
      </c>
      <c r="G102" s="9">
        <f t="shared" si="22"/>
        <v>0</v>
      </c>
      <c r="H102" s="9">
        <f t="shared" si="22"/>
        <v>0</v>
      </c>
    </row>
    <row r="103" spans="1:8">
      <c r="A103" s="9" t="str">
        <f>+A73</f>
        <v>Mango</v>
      </c>
      <c r="B103" s="9">
        <f>+H41-B73</f>
        <v>0</v>
      </c>
      <c r="C103" s="9">
        <f t="shared" ref="C103:H103" si="23">(B103/B$76)*C$76</f>
        <v>0</v>
      </c>
      <c r="D103" s="9">
        <f t="shared" si="23"/>
        <v>0</v>
      </c>
      <c r="E103" s="9">
        <f t="shared" si="23"/>
        <v>0</v>
      </c>
      <c r="F103" s="9">
        <f t="shared" si="23"/>
        <v>0</v>
      </c>
      <c r="G103" s="9">
        <f t="shared" si="23"/>
        <v>0</v>
      </c>
      <c r="H103" s="9">
        <f t="shared" si="23"/>
        <v>0</v>
      </c>
    </row>
    <row r="104" spans="1:8">
      <c r="A104" s="9" t="str">
        <f>A74</f>
        <v>Citrus</v>
      </c>
      <c r="B104" s="9">
        <f>+H42-B74</f>
        <v>0</v>
      </c>
      <c r="C104" s="9">
        <f t="shared" si="22"/>
        <v>0</v>
      </c>
      <c r="D104" s="9">
        <f>(C104/C$76)*D$76</f>
        <v>0</v>
      </c>
      <c r="E104" s="9">
        <f>(D104/D$76)*E$76</f>
        <v>0</v>
      </c>
      <c r="F104" s="9">
        <f>(E104/E$76)*F$76</f>
        <v>0</v>
      </c>
      <c r="G104" s="9">
        <f>(F104/F$76)*G$76</f>
        <v>0</v>
      </c>
      <c r="H104" s="9">
        <f>(G104/G$76)*H$76</f>
        <v>0</v>
      </c>
    </row>
    <row r="105" spans="1:8" ht="18.75">
      <c r="A105" s="1178" t="s">
        <v>2013</v>
      </c>
      <c r="B105" s="1179"/>
      <c r="C105" s="1179"/>
      <c r="D105" s="1179"/>
      <c r="E105" s="1179"/>
      <c r="F105" s="1179"/>
      <c r="G105" s="1179"/>
      <c r="H105" s="1180"/>
    </row>
    <row r="106" spans="1:8">
      <c r="A106" s="1171" t="s">
        <v>0</v>
      </c>
      <c r="B106" s="247">
        <v>0.65</v>
      </c>
      <c r="C106" s="248">
        <f t="shared" ref="C106:H106" si="24">B106+0.05</f>
        <v>0.70000000000000007</v>
      </c>
      <c r="D106" s="248">
        <f t="shared" si="24"/>
        <v>0.75000000000000011</v>
      </c>
      <c r="E106" s="248">
        <f t="shared" si="24"/>
        <v>0.80000000000000016</v>
      </c>
      <c r="F106" s="248">
        <f t="shared" si="24"/>
        <v>0.8500000000000002</v>
      </c>
      <c r="G106" s="248">
        <f t="shared" si="24"/>
        <v>0.90000000000000024</v>
      </c>
      <c r="H106" s="248">
        <f t="shared" si="24"/>
        <v>0.95000000000000029</v>
      </c>
    </row>
    <row r="107" spans="1:8">
      <c r="A107" s="1172"/>
      <c r="B107" s="222" t="s">
        <v>2</v>
      </c>
      <c r="C107" s="222" t="s">
        <v>3</v>
      </c>
      <c r="D107" s="222" t="s">
        <v>4</v>
      </c>
      <c r="E107" s="222" t="s">
        <v>5</v>
      </c>
      <c r="F107" s="222" t="s">
        <v>6</v>
      </c>
      <c r="G107" s="222" t="s">
        <v>170</v>
      </c>
      <c r="H107" s="222" t="s">
        <v>169</v>
      </c>
    </row>
    <row r="108" spans="1:8">
      <c r="A108" s="9" t="str">
        <f t="shared" ref="A108:A128" si="25">A78</f>
        <v>Exotic Vegitables</v>
      </c>
      <c r="B108" s="9">
        <f t="shared" ref="B108:B116" si="26">D14*$B$106</f>
        <v>0</v>
      </c>
      <c r="C108" s="9">
        <f t="shared" ref="C108:H123" si="27">(B108/B$106)*C$106</f>
        <v>0</v>
      </c>
      <c r="D108" s="9">
        <f t="shared" si="27"/>
        <v>0</v>
      </c>
      <c r="E108" s="9">
        <f t="shared" si="27"/>
        <v>0</v>
      </c>
      <c r="F108" s="9">
        <f t="shared" si="27"/>
        <v>0</v>
      </c>
      <c r="G108" s="9">
        <f t="shared" si="27"/>
        <v>0</v>
      </c>
      <c r="H108" s="9">
        <f t="shared" si="27"/>
        <v>0</v>
      </c>
    </row>
    <row r="109" spans="1:8">
      <c r="A109" s="9" t="str">
        <f t="shared" si="25"/>
        <v>Tomato</v>
      </c>
      <c r="B109" s="9">
        <f t="shared" si="26"/>
        <v>0</v>
      </c>
      <c r="C109" s="9">
        <f t="shared" si="27"/>
        <v>0</v>
      </c>
      <c r="D109" s="9">
        <f>(C109/C106)*D106</f>
        <v>0</v>
      </c>
      <c r="E109" s="9">
        <f>(D109/D106)*E106</f>
        <v>0</v>
      </c>
      <c r="F109" s="9">
        <f>(E109/E106)*F106</f>
        <v>0</v>
      </c>
      <c r="G109" s="9">
        <f>(F109/F106)*G106</f>
        <v>0</v>
      </c>
      <c r="H109" s="9">
        <f>(G109/G106)*H106</f>
        <v>0</v>
      </c>
    </row>
    <row r="110" spans="1:8">
      <c r="A110" s="9" t="str">
        <f t="shared" si="25"/>
        <v>Okra</v>
      </c>
      <c r="B110" s="9">
        <f t="shared" si="26"/>
        <v>0</v>
      </c>
      <c r="C110" s="9">
        <f t="shared" si="27"/>
        <v>0</v>
      </c>
      <c r="D110" s="9">
        <f t="shared" si="27"/>
        <v>0</v>
      </c>
      <c r="E110" s="9">
        <f t="shared" si="27"/>
        <v>0</v>
      </c>
      <c r="F110" s="9">
        <f t="shared" si="27"/>
        <v>0</v>
      </c>
      <c r="G110" s="9">
        <f t="shared" si="27"/>
        <v>0</v>
      </c>
      <c r="H110" s="9">
        <f t="shared" si="27"/>
        <v>0</v>
      </c>
    </row>
    <row r="111" spans="1:8">
      <c r="A111" s="9" t="str">
        <f t="shared" si="25"/>
        <v>Chilli</v>
      </c>
      <c r="B111" s="9">
        <f t="shared" si="26"/>
        <v>0</v>
      </c>
      <c r="C111" s="9">
        <f t="shared" si="27"/>
        <v>0</v>
      </c>
      <c r="D111" s="9">
        <f t="shared" si="27"/>
        <v>0</v>
      </c>
      <c r="E111" s="9">
        <f t="shared" si="27"/>
        <v>0</v>
      </c>
      <c r="F111" s="9">
        <f t="shared" si="27"/>
        <v>0</v>
      </c>
      <c r="G111" s="9">
        <f t="shared" si="27"/>
        <v>0</v>
      </c>
      <c r="H111" s="9">
        <f t="shared" si="27"/>
        <v>0</v>
      </c>
    </row>
    <row r="112" spans="1:8">
      <c r="A112" s="9" t="str">
        <f t="shared" si="25"/>
        <v>Potato</v>
      </c>
      <c r="B112" s="9">
        <f t="shared" si="26"/>
        <v>0</v>
      </c>
      <c r="C112" s="9">
        <f t="shared" si="27"/>
        <v>0</v>
      </c>
      <c r="D112" s="9">
        <f t="shared" si="27"/>
        <v>0</v>
      </c>
      <c r="E112" s="9">
        <f t="shared" si="27"/>
        <v>0</v>
      </c>
      <c r="F112" s="9">
        <f t="shared" si="27"/>
        <v>0</v>
      </c>
      <c r="G112" s="9">
        <f t="shared" si="27"/>
        <v>0</v>
      </c>
      <c r="H112" s="9">
        <f t="shared" si="27"/>
        <v>0</v>
      </c>
    </row>
    <row r="113" spans="1:8">
      <c r="A113" s="9" t="str">
        <f t="shared" si="25"/>
        <v>Cabbage</v>
      </c>
      <c r="B113" s="9">
        <f t="shared" si="26"/>
        <v>0</v>
      </c>
      <c r="C113" s="9">
        <f t="shared" si="27"/>
        <v>0</v>
      </c>
      <c r="D113" s="9">
        <f t="shared" si="27"/>
        <v>0</v>
      </c>
      <c r="E113" s="9">
        <f t="shared" si="27"/>
        <v>0</v>
      </c>
      <c r="F113" s="9">
        <f t="shared" si="27"/>
        <v>0</v>
      </c>
      <c r="G113" s="9">
        <f t="shared" si="27"/>
        <v>0</v>
      </c>
      <c r="H113" s="9">
        <f t="shared" si="27"/>
        <v>0</v>
      </c>
    </row>
    <row r="114" spans="1:8">
      <c r="A114" s="9" t="str">
        <f t="shared" si="25"/>
        <v>Coliflower</v>
      </c>
      <c r="B114" s="9">
        <f t="shared" si="26"/>
        <v>0</v>
      </c>
      <c r="C114" s="9">
        <f t="shared" si="27"/>
        <v>0</v>
      </c>
      <c r="D114" s="9">
        <f t="shared" si="27"/>
        <v>0</v>
      </c>
      <c r="E114" s="9">
        <f t="shared" si="27"/>
        <v>0</v>
      </c>
      <c r="F114" s="9">
        <f t="shared" si="27"/>
        <v>0</v>
      </c>
      <c r="G114" s="9">
        <f t="shared" si="27"/>
        <v>0</v>
      </c>
      <c r="H114" s="9">
        <f t="shared" si="27"/>
        <v>0</v>
      </c>
    </row>
    <row r="115" spans="1:8">
      <c r="A115" s="9" t="str">
        <f t="shared" si="25"/>
        <v>Bitter Gurd</v>
      </c>
      <c r="B115" s="9">
        <f t="shared" si="26"/>
        <v>0</v>
      </c>
      <c r="C115" s="9">
        <f t="shared" si="27"/>
        <v>0</v>
      </c>
      <c r="D115" s="9">
        <f t="shared" si="27"/>
        <v>0</v>
      </c>
      <c r="E115" s="9">
        <f t="shared" si="27"/>
        <v>0</v>
      </c>
      <c r="F115" s="9">
        <f t="shared" si="27"/>
        <v>0</v>
      </c>
      <c r="G115" s="9">
        <f t="shared" si="27"/>
        <v>0</v>
      </c>
      <c r="H115" s="9">
        <f t="shared" si="27"/>
        <v>0</v>
      </c>
    </row>
    <row r="116" spans="1:8">
      <c r="A116" s="9">
        <f t="shared" si="25"/>
        <v>0</v>
      </c>
      <c r="B116" s="9">
        <f t="shared" si="26"/>
        <v>0</v>
      </c>
      <c r="C116" s="9">
        <f t="shared" si="27"/>
        <v>0</v>
      </c>
      <c r="D116" s="9">
        <f t="shared" si="27"/>
        <v>0</v>
      </c>
      <c r="E116" s="9">
        <f t="shared" si="27"/>
        <v>0</v>
      </c>
      <c r="F116" s="9">
        <f t="shared" si="27"/>
        <v>0</v>
      </c>
      <c r="G116" s="9">
        <f t="shared" si="27"/>
        <v>0</v>
      </c>
      <c r="H116" s="9">
        <f t="shared" si="27"/>
        <v>0</v>
      </c>
    </row>
    <row r="117" spans="1:8">
      <c r="A117" s="9" t="str">
        <f t="shared" si="25"/>
        <v>Exotic Vegitables</v>
      </c>
      <c r="B117" s="9">
        <f t="shared" ref="B117:B124" si="28">D24*$B$106</f>
        <v>0</v>
      </c>
      <c r="C117" s="9">
        <f t="shared" si="27"/>
        <v>0</v>
      </c>
      <c r="D117" s="9">
        <f t="shared" si="27"/>
        <v>0</v>
      </c>
      <c r="E117" s="9">
        <f t="shared" si="27"/>
        <v>0</v>
      </c>
      <c r="F117" s="9">
        <f t="shared" si="27"/>
        <v>0</v>
      </c>
      <c r="G117" s="9">
        <f t="shared" si="27"/>
        <v>0</v>
      </c>
      <c r="H117" s="9">
        <f t="shared" si="27"/>
        <v>0</v>
      </c>
    </row>
    <row r="118" spans="1:8">
      <c r="A118" s="9" t="str">
        <f t="shared" si="25"/>
        <v>Tomato</v>
      </c>
      <c r="B118" s="9">
        <f t="shared" si="28"/>
        <v>0</v>
      </c>
      <c r="C118" s="9">
        <f t="shared" si="27"/>
        <v>0</v>
      </c>
      <c r="D118" s="9">
        <f t="shared" si="27"/>
        <v>0</v>
      </c>
      <c r="E118" s="9">
        <f t="shared" si="27"/>
        <v>0</v>
      </c>
      <c r="F118" s="9">
        <f t="shared" si="27"/>
        <v>0</v>
      </c>
      <c r="G118" s="9">
        <f t="shared" si="27"/>
        <v>0</v>
      </c>
      <c r="H118" s="9">
        <f t="shared" si="27"/>
        <v>0</v>
      </c>
    </row>
    <row r="119" spans="1:8">
      <c r="A119" s="9" t="str">
        <f t="shared" si="25"/>
        <v>Okra</v>
      </c>
      <c r="B119" s="9">
        <f t="shared" si="28"/>
        <v>0</v>
      </c>
      <c r="C119" s="9">
        <f t="shared" si="27"/>
        <v>0</v>
      </c>
      <c r="D119" s="9">
        <f t="shared" si="27"/>
        <v>0</v>
      </c>
      <c r="E119" s="9">
        <f t="shared" si="27"/>
        <v>0</v>
      </c>
      <c r="F119" s="9">
        <f t="shared" si="27"/>
        <v>0</v>
      </c>
      <c r="G119" s="9">
        <f t="shared" si="27"/>
        <v>0</v>
      </c>
      <c r="H119" s="9">
        <f t="shared" si="27"/>
        <v>0</v>
      </c>
    </row>
    <row r="120" spans="1:8">
      <c r="A120" s="9" t="str">
        <f t="shared" si="25"/>
        <v>Chilli</v>
      </c>
      <c r="B120" s="9">
        <f t="shared" si="28"/>
        <v>0</v>
      </c>
      <c r="C120" s="9">
        <f t="shared" si="27"/>
        <v>0</v>
      </c>
      <c r="D120" s="9">
        <f t="shared" si="27"/>
        <v>0</v>
      </c>
      <c r="E120" s="9">
        <f t="shared" si="27"/>
        <v>0</v>
      </c>
      <c r="F120" s="9">
        <f t="shared" si="27"/>
        <v>0</v>
      </c>
      <c r="G120" s="9">
        <f t="shared" si="27"/>
        <v>0</v>
      </c>
      <c r="H120" s="9">
        <f t="shared" si="27"/>
        <v>0</v>
      </c>
    </row>
    <row r="121" spans="1:8">
      <c r="A121" s="9" t="str">
        <f t="shared" si="25"/>
        <v>Brinjal</v>
      </c>
      <c r="B121" s="9">
        <f t="shared" si="28"/>
        <v>0</v>
      </c>
      <c r="C121" s="9">
        <f t="shared" si="27"/>
        <v>0</v>
      </c>
      <c r="D121" s="9">
        <f t="shared" si="27"/>
        <v>0</v>
      </c>
      <c r="E121" s="9">
        <f t="shared" si="27"/>
        <v>0</v>
      </c>
      <c r="F121" s="9">
        <f t="shared" si="27"/>
        <v>0</v>
      </c>
      <c r="G121" s="9">
        <f t="shared" si="27"/>
        <v>0</v>
      </c>
      <c r="H121" s="9">
        <f t="shared" si="27"/>
        <v>0</v>
      </c>
    </row>
    <row r="122" spans="1:8">
      <c r="A122" s="9" t="str">
        <f t="shared" si="25"/>
        <v>Ginger</v>
      </c>
      <c r="B122" s="9">
        <f t="shared" si="28"/>
        <v>0</v>
      </c>
      <c r="C122" s="9">
        <f t="shared" si="27"/>
        <v>0</v>
      </c>
      <c r="D122" s="9">
        <f t="shared" si="27"/>
        <v>0</v>
      </c>
      <c r="E122" s="9">
        <f t="shared" si="27"/>
        <v>0</v>
      </c>
      <c r="F122" s="9">
        <f t="shared" si="27"/>
        <v>0</v>
      </c>
      <c r="G122" s="9">
        <f t="shared" si="27"/>
        <v>0</v>
      </c>
      <c r="H122" s="9">
        <f t="shared" si="27"/>
        <v>0</v>
      </c>
    </row>
    <row r="123" spans="1:8">
      <c r="A123" s="9">
        <f t="shared" si="25"/>
        <v>0</v>
      </c>
      <c r="B123" s="9">
        <f t="shared" si="28"/>
        <v>0</v>
      </c>
      <c r="C123" s="9">
        <f t="shared" si="27"/>
        <v>0</v>
      </c>
      <c r="D123" s="9">
        <f t="shared" si="27"/>
        <v>0</v>
      </c>
      <c r="E123" s="9">
        <f t="shared" si="27"/>
        <v>0</v>
      </c>
      <c r="F123" s="9">
        <f t="shared" si="27"/>
        <v>0</v>
      </c>
      <c r="G123" s="9">
        <f t="shared" si="27"/>
        <v>0</v>
      </c>
      <c r="H123" s="9">
        <f t="shared" si="27"/>
        <v>0</v>
      </c>
    </row>
    <row r="124" spans="1:8">
      <c r="A124" s="9">
        <f t="shared" si="25"/>
        <v>0</v>
      </c>
      <c r="B124" s="9">
        <f t="shared" si="28"/>
        <v>0</v>
      </c>
      <c r="C124" s="9">
        <f t="shared" ref="C124:H133" si="29">(B124/B$106)*C$106</f>
        <v>0</v>
      </c>
      <c r="D124" s="9">
        <f t="shared" si="29"/>
        <v>0</v>
      </c>
      <c r="E124" s="9">
        <f t="shared" si="29"/>
        <v>0</v>
      </c>
      <c r="F124" s="9">
        <f t="shared" si="29"/>
        <v>0</v>
      </c>
      <c r="G124" s="9">
        <f t="shared" si="29"/>
        <v>0</v>
      </c>
      <c r="H124" s="9">
        <f t="shared" si="29"/>
        <v>0</v>
      </c>
    </row>
    <row r="125" spans="1:8">
      <c r="A125" s="9" t="str">
        <f t="shared" si="25"/>
        <v>Spinach</v>
      </c>
      <c r="B125" s="9">
        <f>D33*$B$106</f>
        <v>0</v>
      </c>
      <c r="C125" s="9">
        <f t="shared" si="29"/>
        <v>0</v>
      </c>
      <c r="D125" s="9">
        <f t="shared" si="29"/>
        <v>0</v>
      </c>
      <c r="E125" s="9">
        <f t="shared" si="29"/>
        <v>0</v>
      </c>
      <c r="F125" s="9">
        <f t="shared" si="29"/>
        <v>0</v>
      </c>
      <c r="G125" s="9">
        <f t="shared" si="29"/>
        <v>0</v>
      </c>
      <c r="H125" s="9">
        <f t="shared" si="29"/>
        <v>0</v>
      </c>
    </row>
    <row r="126" spans="1:8">
      <c r="A126" s="9" t="str">
        <f t="shared" si="25"/>
        <v>Fenugreek</v>
      </c>
      <c r="B126" s="9">
        <f>D34*$B$106</f>
        <v>0</v>
      </c>
      <c r="C126" s="9">
        <f t="shared" si="29"/>
        <v>0</v>
      </c>
      <c r="D126" s="9">
        <f t="shared" ref="D126:G128" si="30">(C126/C$106)*D$106</f>
        <v>0</v>
      </c>
      <c r="E126" s="9">
        <f t="shared" si="30"/>
        <v>0</v>
      </c>
      <c r="F126" s="9">
        <f t="shared" si="30"/>
        <v>0</v>
      </c>
      <c r="G126" s="9">
        <f t="shared" si="30"/>
        <v>0</v>
      </c>
      <c r="H126" s="9">
        <f t="shared" si="29"/>
        <v>0</v>
      </c>
    </row>
    <row r="127" spans="1:8">
      <c r="A127" s="9" t="str">
        <f t="shared" si="25"/>
        <v>coriander</v>
      </c>
      <c r="B127" s="9">
        <f>D35*$B$106</f>
        <v>0</v>
      </c>
      <c r="C127" s="9">
        <f t="shared" si="29"/>
        <v>0</v>
      </c>
      <c r="D127" s="9">
        <f t="shared" si="30"/>
        <v>0</v>
      </c>
      <c r="E127" s="9">
        <f t="shared" si="30"/>
        <v>0</v>
      </c>
      <c r="F127" s="9">
        <f t="shared" si="30"/>
        <v>0</v>
      </c>
      <c r="G127" s="9">
        <f t="shared" si="30"/>
        <v>0</v>
      </c>
      <c r="H127" s="9">
        <f t="shared" si="29"/>
        <v>0</v>
      </c>
    </row>
    <row r="128" spans="1:8">
      <c r="A128" s="9" t="str">
        <f t="shared" si="25"/>
        <v>Shepu</v>
      </c>
      <c r="B128" s="9">
        <f t="shared" ref="B128:B133" si="31">D37*$B$106</f>
        <v>0</v>
      </c>
      <c r="C128" s="9">
        <f t="shared" si="29"/>
        <v>0</v>
      </c>
      <c r="D128" s="9">
        <f t="shared" si="30"/>
        <v>0</v>
      </c>
      <c r="E128" s="9">
        <f t="shared" si="30"/>
        <v>0</v>
      </c>
      <c r="F128" s="9">
        <f t="shared" si="30"/>
        <v>0</v>
      </c>
      <c r="G128" s="9">
        <f t="shared" si="30"/>
        <v>0</v>
      </c>
      <c r="H128" s="9">
        <f t="shared" si="29"/>
        <v>0</v>
      </c>
    </row>
    <row r="129" spans="1:12">
      <c r="A129" s="9" t="str">
        <f>A100</f>
        <v>Pomegranate</v>
      </c>
      <c r="B129" s="9">
        <f t="shared" si="31"/>
        <v>0</v>
      </c>
      <c r="C129" s="9">
        <f t="shared" si="29"/>
        <v>0</v>
      </c>
      <c r="D129" s="9">
        <f t="shared" si="29"/>
        <v>0</v>
      </c>
      <c r="E129" s="9">
        <f t="shared" si="29"/>
        <v>0</v>
      </c>
      <c r="F129" s="9">
        <f t="shared" si="29"/>
        <v>0</v>
      </c>
      <c r="G129" s="9">
        <f t="shared" si="29"/>
        <v>0</v>
      </c>
      <c r="H129" s="9">
        <f t="shared" si="29"/>
        <v>0</v>
      </c>
    </row>
    <row r="130" spans="1:12">
      <c r="A130" s="9" t="str">
        <f>A101</f>
        <v>Banana</v>
      </c>
      <c r="B130" s="9">
        <f t="shared" si="31"/>
        <v>0</v>
      </c>
      <c r="C130" s="9">
        <f t="shared" si="29"/>
        <v>0</v>
      </c>
      <c r="D130" s="9">
        <f>(C130/C$106)*D$106</f>
        <v>0</v>
      </c>
      <c r="E130" s="9">
        <f>(D130/D$106)*E$106</f>
        <v>0</v>
      </c>
      <c r="F130" s="9">
        <f>(E130/E$106)*F$106</f>
        <v>0</v>
      </c>
      <c r="G130" s="9">
        <f>(F130/F$106)*G$106</f>
        <v>0</v>
      </c>
      <c r="H130" s="9">
        <f t="shared" si="29"/>
        <v>0</v>
      </c>
    </row>
    <row r="131" spans="1:12">
      <c r="A131" s="9" t="str">
        <f>A102</f>
        <v>Graps</v>
      </c>
      <c r="B131" s="9">
        <f t="shared" si="31"/>
        <v>0</v>
      </c>
      <c r="C131" s="9">
        <f t="shared" si="29"/>
        <v>0</v>
      </c>
      <c r="D131" s="9">
        <f t="shared" si="29"/>
        <v>0</v>
      </c>
      <c r="E131" s="9">
        <f t="shared" si="29"/>
        <v>0</v>
      </c>
      <c r="F131" s="9">
        <f t="shared" si="29"/>
        <v>0</v>
      </c>
      <c r="G131" s="9">
        <f t="shared" si="29"/>
        <v>0</v>
      </c>
      <c r="H131" s="9">
        <f t="shared" si="29"/>
        <v>0</v>
      </c>
    </row>
    <row r="132" spans="1:12">
      <c r="A132" s="9" t="str">
        <f>+A103</f>
        <v>Mango</v>
      </c>
      <c r="B132" s="9">
        <f t="shared" si="31"/>
        <v>0</v>
      </c>
      <c r="C132" s="9">
        <f t="shared" ref="C132:H132" si="32">(B132/B$106)*C$106</f>
        <v>0</v>
      </c>
      <c r="D132" s="9">
        <f t="shared" si="32"/>
        <v>0</v>
      </c>
      <c r="E132" s="9">
        <f t="shared" si="32"/>
        <v>0</v>
      </c>
      <c r="F132" s="9">
        <f t="shared" si="32"/>
        <v>0</v>
      </c>
      <c r="G132" s="9">
        <f t="shared" si="32"/>
        <v>0</v>
      </c>
      <c r="H132" s="9">
        <f t="shared" si="32"/>
        <v>0</v>
      </c>
    </row>
    <row r="133" spans="1:12">
      <c r="A133" s="9" t="str">
        <f>A104</f>
        <v>Citrus</v>
      </c>
      <c r="B133" s="9">
        <f t="shared" si="31"/>
        <v>0</v>
      </c>
      <c r="C133" s="9">
        <f t="shared" si="29"/>
        <v>0</v>
      </c>
      <c r="D133" s="9">
        <f t="shared" si="29"/>
        <v>0</v>
      </c>
      <c r="E133" s="9">
        <f t="shared" si="29"/>
        <v>0</v>
      </c>
      <c r="F133" s="9">
        <f t="shared" si="29"/>
        <v>0</v>
      </c>
      <c r="G133" s="9">
        <f t="shared" si="29"/>
        <v>0</v>
      </c>
      <c r="H133" s="9">
        <f t="shared" si="29"/>
        <v>0</v>
      </c>
    </row>
    <row r="135" spans="1:12">
      <c r="C135" s="4"/>
      <c r="D135" s="6"/>
      <c r="E135" s="6"/>
      <c r="F135" s="6"/>
      <c r="G135" s="6"/>
      <c r="H135" s="6"/>
      <c r="I135" s="6"/>
      <c r="J135" s="6"/>
      <c r="K135" s="6"/>
      <c r="L135" s="6"/>
    </row>
    <row r="136" spans="1:12">
      <c r="A136" t="s">
        <v>540</v>
      </c>
      <c r="C136" s="12"/>
      <c r="D136" s="12"/>
      <c r="E136" s="12"/>
      <c r="F136" s="12"/>
      <c r="G136" s="12"/>
      <c r="H136" s="12"/>
      <c r="I136" s="12"/>
      <c r="J136" s="12"/>
      <c r="K136" s="12"/>
      <c r="L136" s="12"/>
    </row>
    <row r="137" spans="1:12">
      <c r="A137">
        <v>1</v>
      </c>
      <c r="B137" t="s">
        <v>541</v>
      </c>
    </row>
    <row r="138" spans="1:12">
      <c r="A138">
        <v>2</v>
      </c>
      <c r="B138" t="s">
        <v>542</v>
      </c>
    </row>
    <row r="139" spans="1:12">
      <c r="A139">
        <v>3</v>
      </c>
      <c r="B139" t="s">
        <v>543</v>
      </c>
    </row>
  </sheetData>
  <mergeCells count="13">
    <mergeCell ref="A105:H105"/>
    <mergeCell ref="A106:A107"/>
    <mergeCell ref="A3:B3"/>
    <mergeCell ref="A11:H11"/>
    <mergeCell ref="A14:A22"/>
    <mergeCell ref="A24:A31"/>
    <mergeCell ref="A38:A42"/>
    <mergeCell ref="A43:H43"/>
    <mergeCell ref="A1:H1"/>
    <mergeCell ref="A45:H45"/>
    <mergeCell ref="A46:A47"/>
    <mergeCell ref="A75:H75"/>
    <mergeCell ref="A76:A77"/>
  </mergeCells>
  <pageMargins left="0.25" right="0.25" top="0.75" bottom="0.75" header="0.3" footer="0.3"/>
  <pageSetup scale="84" orientation="landscape" r:id="rId1"/>
  <rowBreaks count="3" manualBreakCount="3">
    <brk id="43" max="7" man="1"/>
    <brk id="74" max="7" man="1"/>
    <brk id="104" max="7" man="1"/>
  </rowBreaks>
  <colBreaks count="1" manualBreakCount="1">
    <brk id="8" max="126"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317"/>
  <sheetViews>
    <sheetView view="pageBreakPreview" zoomScale="80" zoomScaleSheetLayoutView="80" workbookViewId="0">
      <selection activeCell="D13" sqref="D13"/>
    </sheetView>
  </sheetViews>
  <sheetFormatPr defaultRowHeight="15"/>
  <cols>
    <col min="1" max="1" width="34.42578125" customWidth="1"/>
    <col min="2" max="2" width="11.5703125" bestFit="1" customWidth="1"/>
    <col min="3" max="3" width="12.5703125" bestFit="1" customWidth="1"/>
    <col min="4" max="4" width="15.140625" customWidth="1"/>
    <col min="5" max="8" width="17.28515625" customWidth="1"/>
    <col min="9" max="10" width="16.85546875" bestFit="1" customWidth="1"/>
    <col min="12" max="12" width="14.28515625" bestFit="1" customWidth="1"/>
    <col min="13" max="13" width="9.85546875" bestFit="1" customWidth="1"/>
  </cols>
  <sheetData>
    <row r="3" spans="1:13" ht="18.75">
      <c r="A3" s="724" t="s">
        <v>1980</v>
      </c>
      <c r="B3" s="724"/>
      <c r="C3" s="724"/>
      <c r="D3" s="724"/>
      <c r="E3" s="724"/>
      <c r="F3" s="724"/>
      <c r="G3" s="724"/>
      <c r="H3" s="724"/>
    </row>
    <row r="4" spans="1:13" ht="18.75">
      <c r="A4" s="724" t="s">
        <v>2014</v>
      </c>
      <c r="B4" s="724"/>
      <c r="C4" s="724"/>
      <c r="D4" s="724"/>
      <c r="E4" s="724"/>
      <c r="F4" s="724"/>
      <c r="G4" s="724"/>
      <c r="H4" s="724"/>
    </row>
    <row r="5" spans="1:13">
      <c r="A5" s="68" t="s">
        <v>162</v>
      </c>
      <c r="B5" s="186">
        <v>40</v>
      </c>
      <c r="C5" s="68" t="s">
        <v>470</v>
      </c>
      <c r="D5" s="68"/>
      <c r="E5" s="68"/>
      <c r="F5" s="68"/>
      <c r="G5" s="68"/>
      <c r="H5" s="68"/>
    </row>
    <row r="6" spans="1:13">
      <c r="A6" s="68" t="s">
        <v>163</v>
      </c>
      <c r="B6" s="203">
        <v>10</v>
      </c>
      <c r="C6" s="68"/>
      <c r="D6" s="68"/>
      <c r="E6" s="68"/>
      <c r="F6" s="68"/>
      <c r="G6" s="68"/>
      <c r="H6" s="68"/>
    </row>
    <row r="7" spans="1:13">
      <c r="A7" s="68"/>
      <c r="B7" s="203"/>
      <c r="C7" s="68"/>
      <c r="D7" s="68"/>
      <c r="E7" s="68"/>
      <c r="F7" s="68"/>
      <c r="G7" s="68"/>
      <c r="H7" s="68"/>
    </row>
    <row r="8" spans="1:13">
      <c r="A8" s="68"/>
      <c r="B8" s="203"/>
      <c r="C8" s="68"/>
      <c r="D8" s="68"/>
      <c r="E8" s="68"/>
      <c r="F8" s="68"/>
      <c r="G8" s="68"/>
      <c r="H8" s="68"/>
    </row>
    <row r="9" spans="1:13">
      <c r="A9" s="68"/>
      <c r="B9" s="68"/>
      <c r="C9" s="68"/>
      <c r="D9" s="68"/>
      <c r="E9" s="68"/>
      <c r="F9" s="68"/>
      <c r="G9" s="68"/>
      <c r="H9" s="68"/>
    </row>
    <row r="10" spans="1:13">
      <c r="A10" s="68" t="s">
        <v>1731</v>
      </c>
      <c r="B10" s="68"/>
      <c r="C10" s="68"/>
      <c r="D10" s="68"/>
      <c r="E10" s="68"/>
      <c r="F10" s="68"/>
      <c r="G10" s="68"/>
      <c r="H10" s="68"/>
    </row>
    <row r="11" spans="1:13">
      <c r="A11" s="418" t="s">
        <v>0</v>
      </c>
      <c r="B11" s="445"/>
      <c r="C11" s="421"/>
      <c r="D11" s="60" t="s">
        <v>2</v>
      </c>
      <c r="E11" s="60" t="s">
        <v>3</v>
      </c>
      <c r="F11" s="60" t="s">
        <v>4</v>
      </c>
      <c r="G11" s="60" t="s">
        <v>5</v>
      </c>
      <c r="H11" s="60" t="s">
        <v>6</v>
      </c>
      <c r="I11" s="60" t="s">
        <v>170</v>
      </c>
      <c r="J11" s="60" t="s">
        <v>169</v>
      </c>
    </row>
    <row r="12" spans="1:13">
      <c r="A12" s="412" t="s">
        <v>171</v>
      </c>
      <c r="B12" s="436"/>
      <c r="C12" s="415"/>
      <c r="D12" s="226">
        <f t="shared" ref="D12:J12" si="0">D41/($B$5*$B$6)</f>
        <v>0</v>
      </c>
      <c r="E12" s="226">
        <f t="shared" si="0"/>
        <v>0</v>
      </c>
      <c r="F12" s="226">
        <f t="shared" si="0"/>
        <v>0</v>
      </c>
      <c r="G12" s="226">
        <f t="shared" si="0"/>
        <v>0</v>
      </c>
      <c r="H12" s="226">
        <f t="shared" si="0"/>
        <v>0</v>
      </c>
      <c r="I12" s="226">
        <f t="shared" si="0"/>
        <v>0</v>
      </c>
      <c r="J12" s="226">
        <f t="shared" si="0"/>
        <v>0</v>
      </c>
    </row>
    <row r="13" spans="1:13">
      <c r="A13" s="412" t="str">
        <f>'11.F&amp;V Crop Production details'!A78</f>
        <v>Exotic Vegitables</v>
      </c>
      <c r="B13" s="436"/>
      <c r="C13" s="415"/>
      <c r="D13" s="69">
        <f>'11.F&amp;V Crop Production details'!B48</f>
        <v>0</v>
      </c>
      <c r="E13" s="226">
        <f>'11.F&amp;V Crop Production details'!C48</f>
        <v>0</v>
      </c>
      <c r="F13" s="226">
        <f>'11.F&amp;V Crop Production details'!D48</f>
        <v>0</v>
      </c>
      <c r="G13" s="226">
        <f>'11.F&amp;V Crop Production details'!E48</f>
        <v>0</v>
      </c>
      <c r="H13" s="226">
        <f>'11.F&amp;V Crop Production details'!F48</f>
        <v>0</v>
      </c>
      <c r="I13" s="226">
        <f>'11.F&amp;V Crop Production details'!G48</f>
        <v>0</v>
      </c>
      <c r="J13" s="226">
        <f>'11.F&amp;V Crop Production details'!H48</f>
        <v>0</v>
      </c>
      <c r="M13">
        <f>+D13*2000</f>
        <v>0</v>
      </c>
    </row>
    <row r="14" spans="1:13">
      <c r="A14" s="412" t="str">
        <f>'11.F&amp;V Crop Production details'!A79</f>
        <v>Tomato</v>
      </c>
      <c r="B14" s="436"/>
      <c r="C14" s="415"/>
      <c r="D14" s="69">
        <f>'11.F&amp;V Crop Production details'!B49</f>
        <v>0</v>
      </c>
      <c r="E14" s="226">
        <f>'11.F&amp;V Crop Production details'!C49</f>
        <v>0</v>
      </c>
      <c r="F14" s="226">
        <f>'11.F&amp;V Crop Production details'!D49</f>
        <v>0</v>
      </c>
      <c r="G14" s="226">
        <f>'11.F&amp;V Crop Production details'!E49</f>
        <v>0</v>
      </c>
      <c r="H14" s="226">
        <f>'11.F&amp;V Crop Production details'!F49</f>
        <v>0</v>
      </c>
      <c r="I14" s="226">
        <f>'11.F&amp;V Crop Production details'!G49</f>
        <v>0</v>
      </c>
      <c r="J14" s="226">
        <f>'11.F&amp;V Crop Production details'!H49</f>
        <v>0</v>
      </c>
    </row>
    <row r="15" spans="1:13">
      <c r="A15" s="412" t="str">
        <f>'11.F&amp;V Crop Production details'!A80</f>
        <v>Okra</v>
      </c>
      <c r="B15" s="436"/>
      <c r="C15" s="415"/>
      <c r="D15" s="69">
        <f>'11.F&amp;V Crop Production details'!B50</f>
        <v>0</v>
      </c>
      <c r="E15" s="226">
        <f>'11.F&amp;V Crop Production details'!C50</f>
        <v>0</v>
      </c>
      <c r="F15" s="226">
        <f>'11.F&amp;V Crop Production details'!D50</f>
        <v>0</v>
      </c>
      <c r="G15" s="226">
        <f>'11.F&amp;V Crop Production details'!E50</f>
        <v>0</v>
      </c>
      <c r="H15" s="226">
        <f>'11.F&amp;V Crop Production details'!F50</f>
        <v>0</v>
      </c>
      <c r="I15" s="226">
        <f>'11.F&amp;V Crop Production details'!G50</f>
        <v>0</v>
      </c>
      <c r="J15" s="226">
        <f>'11.F&amp;V Crop Production details'!H50</f>
        <v>0</v>
      </c>
    </row>
    <row r="16" spans="1:13">
      <c r="A16" s="412" t="str">
        <f>'11.F&amp;V Crop Production details'!A81</f>
        <v>Chilli</v>
      </c>
      <c r="B16" s="436"/>
      <c r="C16" s="415"/>
      <c r="D16" s="69">
        <f>'11.F&amp;V Crop Production details'!B51</f>
        <v>0</v>
      </c>
      <c r="E16" s="226">
        <f>'11.F&amp;V Crop Production details'!C51</f>
        <v>0</v>
      </c>
      <c r="F16" s="226">
        <f>'11.F&amp;V Crop Production details'!D51</f>
        <v>0</v>
      </c>
      <c r="G16" s="226">
        <f>'11.F&amp;V Crop Production details'!E51</f>
        <v>0</v>
      </c>
      <c r="H16" s="226">
        <f>'11.F&amp;V Crop Production details'!F51</f>
        <v>0</v>
      </c>
      <c r="I16" s="226">
        <f>'11.F&amp;V Crop Production details'!G51</f>
        <v>0</v>
      </c>
      <c r="J16" s="226">
        <f>'11.F&amp;V Crop Production details'!H51</f>
        <v>0</v>
      </c>
    </row>
    <row r="17" spans="1:10">
      <c r="A17" s="412" t="str">
        <f>'11.F&amp;V Crop Production details'!A82</f>
        <v>Potato</v>
      </c>
      <c r="B17" s="436"/>
      <c r="C17" s="415"/>
      <c r="D17" s="69">
        <f>'11.F&amp;V Crop Production details'!B52</f>
        <v>0</v>
      </c>
      <c r="E17" s="226">
        <f>'11.F&amp;V Crop Production details'!C52</f>
        <v>0</v>
      </c>
      <c r="F17" s="226">
        <f>'11.F&amp;V Crop Production details'!D52</f>
        <v>0</v>
      </c>
      <c r="G17" s="226">
        <f>'11.F&amp;V Crop Production details'!E52</f>
        <v>0</v>
      </c>
      <c r="H17" s="226">
        <f>'11.F&amp;V Crop Production details'!F52</f>
        <v>0</v>
      </c>
      <c r="I17" s="226">
        <f>'11.F&amp;V Crop Production details'!G52</f>
        <v>0</v>
      </c>
      <c r="J17" s="226">
        <f>'11.F&amp;V Crop Production details'!H52</f>
        <v>0</v>
      </c>
    </row>
    <row r="18" spans="1:10">
      <c r="A18" s="412" t="str">
        <f>'11.F&amp;V Crop Production details'!A83</f>
        <v>Cabbage</v>
      </c>
      <c r="B18" s="436"/>
      <c r="C18" s="415"/>
      <c r="D18" s="69">
        <f>'11.F&amp;V Crop Production details'!B53</f>
        <v>0</v>
      </c>
      <c r="E18" s="226">
        <f>'11.F&amp;V Crop Production details'!C53</f>
        <v>0</v>
      </c>
      <c r="F18" s="226">
        <f>'11.F&amp;V Crop Production details'!D53</f>
        <v>0</v>
      </c>
      <c r="G18" s="226">
        <f>'11.F&amp;V Crop Production details'!E53</f>
        <v>0</v>
      </c>
      <c r="H18" s="226">
        <f>'11.F&amp;V Crop Production details'!F53</f>
        <v>0</v>
      </c>
      <c r="I18" s="226">
        <f>'11.F&amp;V Crop Production details'!G53</f>
        <v>0</v>
      </c>
      <c r="J18" s="226">
        <f>'11.F&amp;V Crop Production details'!H53</f>
        <v>0</v>
      </c>
    </row>
    <row r="19" spans="1:10">
      <c r="A19" s="412" t="str">
        <f>'11.F&amp;V Crop Production details'!A84</f>
        <v>Coliflower</v>
      </c>
      <c r="B19" s="436"/>
      <c r="C19" s="415"/>
      <c r="D19" s="69">
        <f>'11.F&amp;V Crop Production details'!B54</f>
        <v>0</v>
      </c>
      <c r="E19" s="226">
        <f>'11.F&amp;V Crop Production details'!C54</f>
        <v>0</v>
      </c>
      <c r="F19" s="226">
        <f>'11.F&amp;V Crop Production details'!D54</f>
        <v>0</v>
      </c>
      <c r="G19" s="226">
        <f>'11.F&amp;V Crop Production details'!E54</f>
        <v>0</v>
      </c>
      <c r="H19" s="226">
        <f>'11.F&amp;V Crop Production details'!F54</f>
        <v>0</v>
      </c>
      <c r="I19" s="226">
        <f>'11.F&amp;V Crop Production details'!G54</f>
        <v>0</v>
      </c>
      <c r="J19" s="226">
        <f>'11.F&amp;V Crop Production details'!H54</f>
        <v>0</v>
      </c>
    </row>
    <row r="20" spans="1:10">
      <c r="A20" s="412" t="str">
        <f>'11.F&amp;V Crop Production details'!A85</f>
        <v>Bitter Gurd</v>
      </c>
      <c r="B20" s="436"/>
      <c r="C20" s="415"/>
      <c r="D20" s="69">
        <f>'11.F&amp;V Crop Production details'!B55</f>
        <v>0</v>
      </c>
      <c r="E20" s="226">
        <f>'11.F&amp;V Crop Production details'!C55</f>
        <v>0</v>
      </c>
      <c r="F20" s="226">
        <f>'11.F&amp;V Crop Production details'!D55</f>
        <v>0</v>
      </c>
      <c r="G20" s="226">
        <f>'11.F&amp;V Crop Production details'!E55</f>
        <v>0</v>
      </c>
      <c r="H20" s="226">
        <f>'11.F&amp;V Crop Production details'!F55</f>
        <v>0</v>
      </c>
      <c r="I20" s="226">
        <f>'11.F&amp;V Crop Production details'!G55</f>
        <v>0</v>
      </c>
      <c r="J20" s="226">
        <f>'11.F&amp;V Crop Production details'!H55</f>
        <v>0</v>
      </c>
    </row>
    <row r="21" spans="1:10">
      <c r="A21" s="412">
        <f>'11.F&amp;V Crop Production details'!A86</f>
        <v>0</v>
      </c>
      <c r="B21" s="436"/>
      <c r="C21" s="415"/>
      <c r="D21" s="69">
        <f>'11.F&amp;V Crop Production details'!B86</f>
        <v>0</v>
      </c>
      <c r="E21" s="226">
        <f>'11.F&amp;V Crop Production details'!C86</f>
        <v>0</v>
      </c>
      <c r="F21" s="226">
        <f>'11.F&amp;V Crop Production details'!D86</f>
        <v>0</v>
      </c>
      <c r="G21" s="226">
        <f>'11.F&amp;V Crop Production details'!E86</f>
        <v>0</v>
      </c>
      <c r="H21" s="226">
        <f>'11.F&amp;V Crop Production details'!F86</f>
        <v>0</v>
      </c>
      <c r="I21" s="226">
        <f>'11.F&amp;V Crop Production details'!G86</f>
        <v>0</v>
      </c>
      <c r="J21" s="226">
        <f>'11.F&amp;V Crop Production details'!H86</f>
        <v>0</v>
      </c>
    </row>
    <row r="22" spans="1:10">
      <c r="A22" s="412" t="str">
        <f>'11.F&amp;V Crop Production details'!A87</f>
        <v>Exotic Vegitables</v>
      </c>
      <c r="B22" s="436"/>
      <c r="C22" s="415"/>
      <c r="D22" s="69">
        <f>'11.F&amp;V Crop Production details'!B57</f>
        <v>0</v>
      </c>
      <c r="E22" s="226">
        <f>'11.F&amp;V Crop Production details'!C57</f>
        <v>0</v>
      </c>
      <c r="F22" s="226">
        <f>'11.F&amp;V Crop Production details'!D57</f>
        <v>0</v>
      </c>
      <c r="G22" s="226">
        <f>'11.F&amp;V Crop Production details'!E57</f>
        <v>0</v>
      </c>
      <c r="H22" s="226">
        <f>'11.F&amp;V Crop Production details'!F57</f>
        <v>0</v>
      </c>
      <c r="I22" s="226">
        <f>'11.F&amp;V Crop Production details'!G57</f>
        <v>0</v>
      </c>
      <c r="J22" s="226">
        <f>'11.F&amp;V Crop Production details'!H57</f>
        <v>0</v>
      </c>
    </row>
    <row r="23" spans="1:10">
      <c r="A23" s="412" t="str">
        <f>'11.F&amp;V Crop Production details'!A88</f>
        <v>Tomato</v>
      </c>
      <c r="B23" s="436"/>
      <c r="C23" s="415"/>
      <c r="D23" s="69">
        <f>'11.F&amp;V Crop Production details'!B58</f>
        <v>0</v>
      </c>
      <c r="E23" s="226">
        <f>'11.F&amp;V Crop Production details'!C58</f>
        <v>0</v>
      </c>
      <c r="F23" s="226">
        <f>'11.F&amp;V Crop Production details'!D58</f>
        <v>0</v>
      </c>
      <c r="G23" s="226">
        <f>'11.F&amp;V Crop Production details'!E58</f>
        <v>0</v>
      </c>
      <c r="H23" s="226">
        <f>'11.F&amp;V Crop Production details'!F58</f>
        <v>0</v>
      </c>
      <c r="I23" s="226">
        <f>'11.F&amp;V Crop Production details'!G58</f>
        <v>0</v>
      </c>
      <c r="J23" s="226">
        <f>'11.F&amp;V Crop Production details'!H58</f>
        <v>0</v>
      </c>
    </row>
    <row r="24" spans="1:10">
      <c r="A24" s="412" t="str">
        <f>'11.F&amp;V Crop Production details'!A89</f>
        <v>Okra</v>
      </c>
      <c r="B24" s="436"/>
      <c r="C24" s="415"/>
      <c r="D24" s="69">
        <f>'11.F&amp;V Crop Production details'!B59</f>
        <v>0</v>
      </c>
      <c r="E24" s="226">
        <f>'11.F&amp;V Crop Production details'!C59</f>
        <v>0</v>
      </c>
      <c r="F24" s="226">
        <f>'11.F&amp;V Crop Production details'!D59</f>
        <v>0</v>
      </c>
      <c r="G24" s="226">
        <f>'11.F&amp;V Crop Production details'!E59</f>
        <v>0</v>
      </c>
      <c r="H24" s="226">
        <f>'11.F&amp;V Crop Production details'!F59</f>
        <v>0</v>
      </c>
      <c r="I24" s="226">
        <f>'11.F&amp;V Crop Production details'!G59</f>
        <v>0</v>
      </c>
      <c r="J24" s="226">
        <f>'11.F&amp;V Crop Production details'!H59</f>
        <v>0</v>
      </c>
    </row>
    <row r="25" spans="1:10">
      <c r="A25" s="412" t="str">
        <f>'11.F&amp;V Crop Production details'!A90</f>
        <v>Chilli</v>
      </c>
      <c r="B25" s="436"/>
      <c r="C25" s="415"/>
      <c r="D25" s="69">
        <f>'11.F&amp;V Crop Production details'!B60</f>
        <v>0</v>
      </c>
      <c r="E25" s="226">
        <f>'11.F&amp;V Crop Production details'!C60</f>
        <v>0</v>
      </c>
      <c r="F25" s="226">
        <f>'11.F&amp;V Crop Production details'!D60</f>
        <v>0</v>
      </c>
      <c r="G25" s="226">
        <f>'11.F&amp;V Crop Production details'!E60</f>
        <v>0</v>
      </c>
      <c r="H25" s="226">
        <f>'11.F&amp;V Crop Production details'!F60</f>
        <v>0</v>
      </c>
      <c r="I25" s="226">
        <f>'11.F&amp;V Crop Production details'!G60</f>
        <v>0</v>
      </c>
      <c r="J25" s="226">
        <f>'11.F&amp;V Crop Production details'!H60</f>
        <v>0</v>
      </c>
    </row>
    <row r="26" spans="1:10">
      <c r="A26" s="412" t="str">
        <f>'11.F&amp;V Crop Production details'!A91</f>
        <v>Brinjal</v>
      </c>
      <c r="B26" s="436"/>
      <c r="C26" s="415"/>
      <c r="D26" s="69">
        <f>'11.F&amp;V Crop Production details'!B61</f>
        <v>0</v>
      </c>
      <c r="E26" s="226">
        <f>'11.F&amp;V Crop Production details'!C61</f>
        <v>0</v>
      </c>
      <c r="F26" s="226">
        <f>'11.F&amp;V Crop Production details'!D61</f>
        <v>0</v>
      </c>
      <c r="G26" s="226">
        <f>'11.F&amp;V Crop Production details'!E61</f>
        <v>0</v>
      </c>
      <c r="H26" s="226">
        <f>'11.F&amp;V Crop Production details'!F61</f>
        <v>0</v>
      </c>
      <c r="I26" s="226">
        <f>'11.F&amp;V Crop Production details'!G61</f>
        <v>0</v>
      </c>
      <c r="J26" s="226">
        <f>'11.F&amp;V Crop Production details'!H61</f>
        <v>0</v>
      </c>
    </row>
    <row r="27" spans="1:10">
      <c r="A27" s="412" t="str">
        <f>'11.F&amp;V Crop Production details'!A92</f>
        <v>Ginger</v>
      </c>
      <c r="B27" s="436"/>
      <c r="C27" s="415"/>
      <c r="D27" s="69">
        <f>'11.F&amp;V Crop Production details'!B62</f>
        <v>0</v>
      </c>
      <c r="E27" s="226">
        <f>'11.F&amp;V Crop Production details'!C62</f>
        <v>0</v>
      </c>
      <c r="F27" s="226">
        <f>'11.F&amp;V Crop Production details'!D62</f>
        <v>0</v>
      </c>
      <c r="G27" s="226">
        <f>'11.F&amp;V Crop Production details'!E62</f>
        <v>0</v>
      </c>
      <c r="H27" s="226">
        <f>'11.F&amp;V Crop Production details'!F62</f>
        <v>0</v>
      </c>
      <c r="I27" s="226">
        <f>'11.F&amp;V Crop Production details'!G62</f>
        <v>0</v>
      </c>
      <c r="J27" s="226">
        <f>'11.F&amp;V Crop Production details'!H62</f>
        <v>0</v>
      </c>
    </row>
    <row r="28" spans="1:10">
      <c r="A28" s="412">
        <f>'11.F&amp;V Crop Production details'!A93</f>
        <v>0</v>
      </c>
      <c r="B28" s="436"/>
      <c r="C28" s="415"/>
      <c r="D28" s="69">
        <f>'11.F&amp;V Crop Production details'!B93</f>
        <v>0</v>
      </c>
      <c r="E28" s="226">
        <f>'11.F&amp;V Crop Production details'!C93</f>
        <v>0</v>
      </c>
      <c r="F28" s="226">
        <f>'11.F&amp;V Crop Production details'!D93</f>
        <v>0</v>
      </c>
      <c r="G28" s="226">
        <f>'11.F&amp;V Crop Production details'!E93</f>
        <v>0</v>
      </c>
      <c r="H28" s="226">
        <f>'11.F&amp;V Crop Production details'!F93</f>
        <v>0</v>
      </c>
      <c r="I28" s="226">
        <f>'11.F&amp;V Crop Production details'!G93</f>
        <v>0</v>
      </c>
      <c r="J28" s="226">
        <f>'11.F&amp;V Crop Production details'!H93</f>
        <v>0</v>
      </c>
    </row>
    <row r="29" spans="1:10">
      <c r="A29" s="412">
        <f>'11.F&amp;V Crop Production details'!A94</f>
        <v>0</v>
      </c>
      <c r="B29" s="436"/>
      <c r="C29" s="415"/>
      <c r="D29" s="69">
        <f>'11.F&amp;V Crop Production details'!B94</f>
        <v>0</v>
      </c>
      <c r="E29" s="226">
        <f>'11.F&amp;V Crop Production details'!C94</f>
        <v>0</v>
      </c>
      <c r="F29" s="226">
        <f>'11.F&amp;V Crop Production details'!D94</f>
        <v>0</v>
      </c>
      <c r="G29" s="226">
        <f>'11.F&amp;V Crop Production details'!E94</f>
        <v>0</v>
      </c>
      <c r="H29" s="226">
        <f>'11.F&amp;V Crop Production details'!F94</f>
        <v>0</v>
      </c>
      <c r="I29" s="226">
        <f>'11.F&amp;V Crop Production details'!G94</f>
        <v>0</v>
      </c>
      <c r="J29" s="226">
        <f>'11.F&amp;V Crop Production details'!H94</f>
        <v>0</v>
      </c>
    </row>
    <row r="30" spans="1:10">
      <c r="A30" s="412" t="str">
        <f>'11.F&amp;V Crop Production details'!A95</f>
        <v>Spinach</v>
      </c>
      <c r="B30" s="436"/>
      <c r="C30" s="415"/>
      <c r="D30" s="69">
        <f>'11.F&amp;V Crop Production details'!B65</f>
        <v>0</v>
      </c>
      <c r="E30" s="226">
        <f>'11.F&amp;V Crop Production details'!C65</f>
        <v>0</v>
      </c>
      <c r="F30" s="226">
        <f>'11.F&amp;V Crop Production details'!D65</f>
        <v>0</v>
      </c>
      <c r="G30" s="226">
        <f>'11.F&amp;V Crop Production details'!E65</f>
        <v>0</v>
      </c>
      <c r="H30" s="226">
        <f>'11.F&amp;V Crop Production details'!F65</f>
        <v>0</v>
      </c>
      <c r="I30" s="226">
        <f>'11.F&amp;V Crop Production details'!G65</f>
        <v>0</v>
      </c>
      <c r="J30" s="226">
        <f>'11.F&amp;V Crop Production details'!H65</f>
        <v>0</v>
      </c>
    </row>
    <row r="31" spans="1:10">
      <c r="A31" s="412" t="str">
        <f>'11.F&amp;V Crop Production details'!A96</f>
        <v>Fenugreek</v>
      </c>
      <c r="B31" s="436"/>
      <c r="C31" s="415"/>
      <c r="D31" s="69">
        <f>'11.F&amp;V Crop Production details'!B66</f>
        <v>0</v>
      </c>
      <c r="E31" s="226">
        <f>'11.F&amp;V Crop Production details'!C66</f>
        <v>0</v>
      </c>
      <c r="F31" s="226">
        <f>'11.F&amp;V Crop Production details'!D66</f>
        <v>0</v>
      </c>
      <c r="G31" s="226">
        <f>'11.F&amp;V Crop Production details'!E66</f>
        <v>0</v>
      </c>
      <c r="H31" s="226">
        <f>'11.F&amp;V Crop Production details'!F66</f>
        <v>0</v>
      </c>
      <c r="I31" s="226">
        <f>'11.F&amp;V Crop Production details'!G66</f>
        <v>0</v>
      </c>
      <c r="J31" s="226">
        <f>'11.F&amp;V Crop Production details'!H66</f>
        <v>0</v>
      </c>
    </row>
    <row r="32" spans="1:10">
      <c r="A32" s="412" t="str">
        <f>'11.F&amp;V Crop Production details'!A97</f>
        <v>coriander</v>
      </c>
      <c r="B32" s="436"/>
      <c r="C32" s="415"/>
      <c r="D32" s="69">
        <f>'11.F&amp;V Crop Production details'!B67</f>
        <v>0</v>
      </c>
      <c r="E32" s="226">
        <f>'11.F&amp;V Crop Production details'!C67</f>
        <v>0</v>
      </c>
      <c r="F32" s="226">
        <f>'11.F&amp;V Crop Production details'!D67</f>
        <v>0</v>
      </c>
      <c r="G32" s="226">
        <f>'11.F&amp;V Crop Production details'!E67</f>
        <v>0</v>
      </c>
      <c r="H32" s="226">
        <f>'11.F&amp;V Crop Production details'!F67</f>
        <v>0</v>
      </c>
      <c r="I32" s="226">
        <f>'11.F&amp;V Crop Production details'!G67</f>
        <v>0</v>
      </c>
      <c r="J32" s="226">
        <f>'11.F&amp;V Crop Production details'!H67</f>
        <v>0</v>
      </c>
    </row>
    <row r="33" spans="1:10">
      <c r="A33" s="412" t="str">
        <f>'11.F&amp;V Crop Production details'!A98</f>
        <v>Shepu</v>
      </c>
      <c r="B33" s="436"/>
      <c r="C33" s="415"/>
      <c r="D33" s="69">
        <f>'11.F&amp;V Crop Production details'!B68</f>
        <v>0</v>
      </c>
      <c r="E33" s="226">
        <f>'11.F&amp;V Crop Production details'!C68</f>
        <v>0</v>
      </c>
      <c r="F33" s="226">
        <f>'11.F&amp;V Crop Production details'!D68</f>
        <v>0</v>
      </c>
      <c r="G33" s="226">
        <f>'11.F&amp;V Crop Production details'!E68</f>
        <v>0</v>
      </c>
      <c r="H33" s="226">
        <f>'11.F&amp;V Crop Production details'!F68</f>
        <v>0</v>
      </c>
      <c r="I33" s="226">
        <f>'11.F&amp;V Crop Production details'!G68</f>
        <v>0</v>
      </c>
      <c r="J33" s="226">
        <f>'11.F&amp;V Crop Production details'!H68</f>
        <v>0</v>
      </c>
    </row>
    <row r="34" spans="1:10">
      <c r="A34" s="412"/>
      <c r="B34" s="436"/>
      <c r="C34" s="415"/>
      <c r="D34" s="69"/>
      <c r="E34" s="226"/>
      <c r="F34" s="226"/>
      <c r="G34" s="226"/>
      <c r="H34" s="226"/>
      <c r="I34" s="226"/>
      <c r="J34" s="226"/>
    </row>
    <row r="35" spans="1:10">
      <c r="A35" s="412" t="str">
        <f>'11.F&amp;V Crop Production details'!A100</f>
        <v>Pomegranate</v>
      </c>
      <c r="B35" s="436"/>
      <c r="C35" s="415"/>
      <c r="D35" s="69">
        <f>'11.F&amp;V Crop Production details'!B70</f>
        <v>0</v>
      </c>
      <c r="E35" s="226">
        <f>'11.F&amp;V Crop Production details'!C70</f>
        <v>0</v>
      </c>
      <c r="F35" s="226">
        <f>'11.F&amp;V Crop Production details'!D70</f>
        <v>0</v>
      </c>
      <c r="G35" s="226">
        <f>'11.F&amp;V Crop Production details'!E70</f>
        <v>0</v>
      </c>
      <c r="H35" s="226">
        <f>'11.F&amp;V Crop Production details'!F70</f>
        <v>0</v>
      </c>
      <c r="I35" s="226">
        <f>'11.F&amp;V Crop Production details'!G70</f>
        <v>0</v>
      </c>
      <c r="J35" s="226">
        <f>'11.F&amp;V Crop Production details'!H70</f>
        <v>0</v>
      </c>
    </row>
    <row r="36" spans="1:10">
      <c r="A36" s="412" t="str">
        <f>'11.F&amp;V Crop Production details'!A101</f>
        <v>Banana</v>
      </c>
      <c r="B36" s="436"/>
      <c r="C36" s="415"/>
      <c r="D36" s="69">
        <f>'11.F&amp;V Crop Production details'!B71</f>
        <v>0</v>
      </c>
      <c r="E36" s="226">
        <f>'11.F&amp;V Crop Production details'!C71</f>
        <v>0</v>
      </c>
      <c r="F36" s="226">
        <f>'11.F&amp;V Crop Production details'!D71</f>
        <v>0</v>
      </c>
      <c r="G36" s="226">
        <f>'11.F&amp;V Crop Production details'!E71</f>
        <v>0</v>
      </c>
      <c r="H36" s="226">
        <f>'11.F&amp;V Crop Production details'!F71</f>
        <v>0</v>
      </c>
      <c r="I36" s="226">
        <f>'11.F&amp;V Crop Production details'!G71</f>
        <v>0</v>
      </c>
      <c r="J36" s="226">
        <f>'11.F&amp;V Crop Production details'!H71</f>
        <v>0</v>
      </c>
    </row>
    <row r="37" spans="1:10">
      <c r="A37" s="412" t="str">
        <f>'11.F&amp;V Crop Production details'!A102</f>
        <v>Graps</v>
      </c>
      <c r="B37" s="436"/>
      <c r="C37" s="415"/>
      <c r="D37" s="69">
        <f>'11.F&amp;V Crop Production details'!B72</f>
        <v>0</v>
      </c>
      <c r="E37" s="226">
        <f>'11.F&amp;V Crop Production details'!C72</f>
        <v>0</v>
      </c>
      <c r="F37" s="226">
        <f>'11.F&amp;V Crop Production details'!D72</f>
        <v>0</v>
      </c>
      <c r="G37" s="226">
        <f>'11.F&amp;V Crop Production details'!E72</f>
        <v>0</v>
      </c>
      <c r="H37" s="226">
        <f>'11.F&amp;V Crop Production details'!F72</f>
        <v>0</v>
      </c>
      <c r="I37" s="226">
        <f>'11.F&amp;V Crop Production details'!G72</f>
        <v>0</v>
      </c>
      <c r="J37" s="226">
        <f>'11.F&amp;V Crop Production details'!H72</f>
        <v>0</v>
      </c>
    </row>
    <row r="38" spans="1:10">
      <c r="A38" s="412" t="str">
        <f>'11.F&amp;V Crop Production details'!A103</f>
        <v>Mango</v>
      </c>
      <c r="B38" s="436"/>
      <c r="C38" s="415"/>
      <c r="D38" s="69">
        <f>'11.F&amp;V Crop Production details'!B73</f>
        <v>0</v>
      </c>
      <c r="E38" s="226">
        <f>'11.F&amp;V Crop Production details'!C73</f>
        <v>0</v>
      </c>
      <c r="F38" s="226">
        <f>'11.F&amp;V Crop Production details'!D73</f>
        <v>0</v>
      </c>
      <c r="G38" s="226">
        <f>'11.F&amp;V Crop Production details'!E73</f>
        <v>0</v>
      </c>
      <c r="H38" s="226">
        <f>'11.F&amp;V Crop Production details'!F73</f>
        <v>0</v>
      </c>
      <c r="I38" s="226">
        <f>'11.F&amp;V Crop Production details'!G73</f>
        <v>0</v>
      </c>
      <c r="J38" s="226">
        <f>'11.F&amp;V Crop Production details'!H73</f>
        <v>0</v>
      </c>
    </row>
    <row r="39" spans="1:10">
      <c r="A39" s="412" t="str">
        <f>'11.F&amp;V Crop Production details'!A104</f>
        <v>Citrus</v>
      </c>
      <c r="B39" s="436"/>
      <c r="C39" s="415"/>
      <c r="D39" s="69">
        <f>'11.F&amp;V Crop Production details'!B74</f>
        <v>0</v>
      </c>
      <c r="E39" s="226">
        <f>'11.F&amp;V Crop Production details'!C74</f>
        <v>0</v>
      </c>
      <c r="F39" s="226">
        <f>'11.F&amp;V Crop Production details'!D74</f>
        <v>0</v>
      </c>
      <c r="G39" s="226">
        <f>'11.F&amp;V Crop Production details'!E74</f>
        <v>0</v>
      </c>
      <c r="H39" s="226">
        <f>'11.F&amp;V Crop Production details'!F74</f>
        <v>0</v>
      </c>
      <c r="I39" s="226">
        <f>'11.F&amp;V Crop Production details'!G74</f>
        <v>0</v>
      </c>
      <c r="J39" s="226">
        <f>'11.F&amp;V Crop Production details'!H74</f>
        <v>0</v>
      </c>
    </row>
    <row r="40" spans="1:10">
      <c r="A40" s="412"/>
      <c r="B40" s="436"/>
      <c r="C40" s="415"/>
      <c r="D40" s="69"/>
      <c r="E40" s="226"/>
      <c r="F40" s="226"/>
      <c r="G40" s="226"/>
      <c r="H40" s="226"/>
      <c r="I40" s="226"/>
      <c r="J40" s="226"/>
    </row>
    <row r="41" spans="1:10">
      <c r="A41" s="412" t="s">
        <v>461</v>
      </c>
      <c r="B41" s="436"/>
      <c r="C41" s="415"/>
      <c r="D41" s="69">
        <f>SUM(D13:D39)</f>
        <v>0</v>
      </c>
      <c r="E41" s="226">
        <f t="shared" ref="E41:J41" si="1">SUM(E13:E39)</f>
        <v>0</v>
      </c>
      <c r="F41" s="226">
        <f t="shared" si="1"/>
        <v>0</v>
      </c>
      <c r="G41" s="226">
        <f t="shared" si="1"/>
        <v>0</v>
      </c>
      <c r="H41" s="226">
        <f t="shared" si="1"/>
        <v>0</v>
      </c>
      <c r="I41" s="226">
        <f t="shared" si="1"/>
        <v>0</v>
      </c>
      <c r="J41" s="226">
        <f t="shared" si="1"/>
        <v>0</v>
      </c>
    </row>
    <row r="42" spans="1:10" hidden="1">
      <c r="A42" s="231" t="s">
        <v>166</v>
      </c>
      <c r="B42" s="204">
        <v>0</v>
      </c>
      <c r="C42" s="204">
        <f t="shared" ref="C42:H42" si="2">B42</f>
        <v>0</v>
      </c>
      <c r="D42" s="204">
        <f t="shared" si="2"/>
        <v>0</v>
      </c>
      <c r="E42" s="627">
        <f t="shared" si="2"/>
        <v>0</v>
      </c>
      <c r="F42" s="627">
        <f t="shared" si="2"/>
        <v>0</v>
      </c>
      <c r="G42" s="627">
        <f t="shared" si="2"/>
        <v>0</v>
      </c>
      <c r="H42" s="627">
        <f t="shared" si="2"/>
        <v>0</v>
      </c>
      <c r="I42" s="224"/>
      <c r="J42" s="224"/>
    </row>
    <row r="43" spans="1:10" hidden="1">
      <c r="A43" s="69" t="s">
        <v>471</v>
      </c>
      <c r="B43" s="154">
        <v>0</v>
      </c>
      <c r="C43" s="154">
        <v>0</v>
      </c>
      <c r="D43" s="154">
        <v>0</v>
      </c>
      <c r="E43" s="226">
        <v>0</v>
      </c>
      <c r="F43" s="226">
        <v>0</v>
      </c>
      <c r="G43" s="226">
        <v>0</v>
      </c>
      <c r="H43" s="226">
        <v>0</v>
      </c>
      <c r="I43" s="224"/>
      <c r="J43" s="224"/>
    </row>
    <row r="44" spans="1:10" hidden="1">
      <c r="A44" s="71" t="s">
        <v>166</v>
      </c>
      <c r="B44" s="193">
        <f t="shared" ref="B44:H44" si="3">D41*B42</f>
        <v>0</v>
      </c>
      <c r="C44" s="193">
        <f t="shared" si="3"/>
        <v>0</v>
      </c>
      <c r="D44" s="193">
        <f t="shared" si="3"/>
        <v>0</v>
      </c>
      <c r="E44" s="628">
        <f t="shared" si="3"/>
        <v>0</v>
      </c>
      <c r="F44" s="628">
        <f t="shared" si="3"/>
        <v>0</v>
      </c>
      <c r="G44" s="628">
        <f t="shared" si="3"/>
        <v>0</v>
      </c>
      <c r="H44" s="628">
        <f t="shared" si="3"/>
        <v>0</v>
      </c>
      <c r="I44" s="224"/>
      <c r="J44" s="224"/>
    </row>
    <row r="45" spans="1:10" hidden="1">
      <c r="A45" s="71" t="s">
        <v>1732</v>
      </c>
      <c r="B45" s="87"/>
      <c r="C45" s="87"/>
      <c r="D45" s="87"/>
      <c r="E45" s="629"/>
      <c r="F45" s="629"/>
      <c r="G45" s="629"/>
      <c r="H45" s="629"/>
      <c r="I45" s="224"/>
      <c r="J45" s="224"/>
    </row>
    <row r="46" spans="1:10" hidden="1">
      <c r="A46" s="69" t="str">
        <f t="shared" ref="A46:A63" si="4">A13</f>
        <v>Exotic Vegitables</v>
      </c>
      <c r="B46" s="70">
        <f t="shared" ref="B46:B63" si="5">D13*$B$43</f>
        <v>0</v>
      </c>
      <c r="C46" s="70">
        <f t="shared" ref="C46:C63" si="6">E13*$C$43</f>
        <v>0</v>
      </c>
      <c r="D46" s="70">
        <f t="shared" ref="D46:D63" si="7">F13*$D$43</f>
        <v>0</v>
      </c>
      <c r="E46" s="630">
        <f t="shared" ref="E46:E63" si="8">G13*$E$43</f>
        <v>0</v>
      </c>
      <c r="F46" s="630">
        <f t="shared" ref="F46:F63" si="9">H13*$F$43</f>
        <v>0</v>
      </c>
      <c r="G46" s="630">
        <f t="shared" ref="G46:G63" si="10">I13*$G$43</f>
        <v>0</v>
      </c>
      <c r="H46" s="630">
        <f t="shared" ref="H46:H63" si="11">J13*$H$43</f>
        <v>0</v>
      </c>
      <c r="I46" s="224"/>
      <c r="J46" s="224"/>
    </row>
    <row r="47" spans="1:10" hidden="1">
      <c r="A47" s="69" t="str">
        <f t="shared" si="4"/>
        <v>Tomato</v>
      </c>
      <c r="B47" s="70">
        <f t="shared" si="5"/>
        <v>0</v>
      </c>
      <c r="C47" s="70">
        <f t="shared" si="6"/>
        <v>0</v>
      </c>
      <c r="D47" s="70">
        <f t="shared" si="7"/>
        <v>0</v>
      </c>
      <c r="E47" s="630">
        <f t="shared" si="8"/>
        <v>0</v>
      </c>
      <c r="F47" s="630">
        <f t="shared" si="9"/>
        <v>0</v>
      </c>
      <c r="G47" s="630">
        <f t="shared" si="10"/>
        <v>0</v>
      </c>
      <c r="H47" s="630">
        <f t="shared" si="11"/>
        <v>0</v>
      </c>
      <c r="I47" s="224"/>
      <c r="J47" s="224"/>
    </row>
    <row r="48" spans="1:10" hidden="1">
      <c r="A48" s="69" t="str">
        <f t="shared" si="4"/>
        <v>Okra</v>
      </c>
      <c r="B48" s="70">
        <f t="shared" si="5"/>
        <v>0</v>
      </c>
      <c r="C48" s="70">
        <f t="shared" si="6"/>
        <v>0</v>
      </c>
      <c r="D48" s="70">
        <f t="shared" si="7"/>
        <v>0</v>
      </c>
      <c r="E48" s="630">
        <f t="shared" si="8"/>
        <v>0</v>
      </c>
      <c r="F48" s="630">
        <f t="shared" si="9"/>
        <v>0</v>
      </c>
      <c r="G48" s="630">
        <f t="shared" si="10"/>
        <v>0</v>
      </c>
      <c r="H48" s="630">
        <f t="shared" si="11"/>
        <v>0</v>
      </c>
      <c r="I48" s="224"/>
      <c r="J48" s="224"/>
    </row>
    <row r="49" spans="1:10" hidden="1">
      <c r="A49" s="69" t="str">
        <f t="shared" si="4"/>
        <v>Chilli</v>
      </c>
      <c r="B49" s="70">
        <f t="shared" si="5"/>
        <v>0</v>
      </c>
      <c r="C49" s="70">
        <f t="shared" si="6"/>
        <v>0</v>
      </c>
      <c r="D49" s="70">
        <f t="shared" si="7"/>
        <v>0</v>
      </c>
      <c r="E49" s="630">
        <f t="shared" si="8"/>
        <v>0</v>
      </c>
      <c r="F49" s="630">
        <f t="shared" si="9"/>
        <v>0</v>
      </c>
      <c r="G49" s="630">
        <f t="shared" si="10"/>
        <v>0</v>
      </c>
      <c r="H49" s="630">
        <f t="shared" si="11"/>
        <v>0</v>
      </c>
      <c r="I49" s="224"/>
      <c r="J49" s="224"/>
    </row>
    <row r="50" spans="1:10" hidden="1">
      <c r="A50" s="69" t="str">
        <f t="shared" si="4"/>
        <v>Potato</v>
      </c>
      <c r="B50" s="70">
        <f t="shared" si="5"/>
        <v>0</v>
      </c>
      <c r="C50" s="70">
        <f t="shared" si="6"/>
        <v>0</v>
      </c>
      <c r="D50" s="70">
        <f t="shared" si="7"/>
        <v>0</v>
      </c>
      <c r="E50" s="630">
        <f t="shared" si="8"/>
        <v>0</v>
      </c>
      <c r="F50" s="630">
        <f t="shared" si="9"/>
        <v>0</v>
      </c>
      <c r="G50" s="630">
        <f t="shared" si="10"/>
        <v>0</v>
      </c>
      <c r="H50" s="630">
        <f t="shared" si="11"/>
        <v>0</v>
      </c>
      <c r="I50" s="224"/>
      <c r="J50" s="224"/>
    </row>
    <row r="51" spans="1:10" hidden="1">
      <c r="A51" s="69" t="str">
        <f t="shared" si="4"/>
        <v>Cabbage</v>
      </c>
      <c r="B51" s="70">
        <f t="shared" si="5"/>
        <v>0</v>
      </c>
      <c r="C51" s="70">
        <f t="shared" si="6"/>
        <v>0</v>
      </c>
      <c r="D51" s="70">
        <f t="shared" si="7"/>
        <v>0</v>
      </c>
      <c r="E51" s="630">
        <f t="shared" si="8"/>
        <v>0</v>
      </c>
      <c r="F51" s="630">
        <f t="shared" si="9"/>
        <v>0</v>
      </c>
      <c r="G51" s="630">
        <f t="shared" si="10"/>
        <v>0</v>
      </c>
      <c r="H51" s="630">
        <f t="shared" si="11"/>
        <v>0</v>
      </c>
      <c r="I51" s="224"/>
      <c r="J51" s="224"/>
    </row>
    <row r="52" spans="1:10" hidden="1">
      <c r="A52" s="69" t="str">
        <f t="shared" si="4"/>
        <v>Coliflower</v>
      </c>
      <c r="B52" s="70">
        <f t="shared" si="5"/>
        <v>0</v>
      </c>
      <c r="C52" s="70">
        <f t="shared" si="6"/>
        <v>0</v>
      </c>
      <c r="D52" s="70">
        <f t="shared" si="7"/>
        <v>0</v>
      </c>
      <c r="E52" s="630">
        <f t="shared" si="8"/>
        <v>0</v>
      </c>
      <c r="F52" s="630">
        <f t="shared" si="9"/>
        <v>0</v>
      </c>
      <c r="G52" s="630">
        <f t="shared" si="10"/>
        <v>0</v>
      </c>
      <c r="H52" s="630">
        <f t="shared" si="11"/>
        <v>0</v>
      </c>
      <c r="I52" s="224"/>
      <c r="J52" s="224"/>
    </row>
    <row r="53" spans="1:10" hidden="1">
      <c r="A53" s="69" t="str">
        <f t="shared" si="4"/>
        <v>Bitter Gurd</v>
      </c>
      <c r="B53" s="70">
        <f t="shared" si="5"/>
        <v>0</v>
      </c>
      <c r="C53" s="70">
        <f t="shared" si="6"/>
        <v>0</v>
      </c>
      <c r="D53" s="70">
        <f t="shared" si="7"/>
        <v>0</v>
      </c>
      <c r="E53" s="630">
        <f t="shared" si="8"/>
        <v>0</v>
      </c>
      <c r="F53" s="630">
        <f t="shared" si="9"/>
        <v>0</v>
      </c>
      <c r="G53" s="630">
        <f t="shared" si="10"/>
        <v>0</v>
      </c>
      <c r="H53" s="630">
        <f t="shared" si="11"/>
        <v>0</v>
      </c>
      <c r="I53" s="224"/>
      <c r="J53" s="224"/>
    </row>
    <row r="54" spans="1:10" hidden="1">
      <c r="A54" s="69">
        <f t="shared" si="4"/>
        <v>0</v>
      </c>
      <c r="B54" s="70">
        <f t="shared" si="5"/>
        <v>0</v>
      </c>
      <c r="C54" s="70">
        <f t="shared" si="6"/>
        <v>0</v>
      </c>
      <c r="D54" s="70">
        <f t="shared" si="7"/>
        <v>0</v>
      </c>
      <c r="E54" s="630">
        <f t="shared" si="8"/>
        <v>0</v>
      </c>
      <c r="F54" s="630">
        <f t="shared" si="9"/>
        <v>0</v>
      </c>
      <c r="G54" s="630">
        <f t="shared" si="10"/>
        <v>0</v>
      </c>
      <c r="H54" s="630">
        <f t="shared" si="11"/>
        <v>0</v>
      </c>
      <c r="I54" s="224"/>
      <c r="J54" s="224"/>
    </row>
    <row r="55" spans="1:10" hidden="1">
      <c r="A55" s="69" t="str">
        <f t="shared" si="4"/>
        <v>Exotic Vegitables</v>
      </c>
      <c r="B55" s="70">
        <f t="shared" si="5"/>
        <v>0</v>
      </c>
      <c r="C55" s="70">
        <f t="shared" si="6"/>
        <v>0</v>
      </c>
      <c r="D55" s="70">
        <f t="shared" si="7"/>
        <v>0</v>
      </c>
      <c r="E55" s="630">
        <f t="shared" si="8"/>
        <v>0</v>
      </c>
      <c r="F55" s="630">
        <f t="shared" si="9"/>
        <v>0</v>
      </c>
      <c r="G55" s="630">
        <f t="shared" si="10"/>
        <v>0</v>
      </c>
      <c r="H55" s="630">
        <f t="shared" si="11"/>
        <v>0</v>
      </c>
      <c r="I55" s="224"/>
      <c r="J55" s="224"/>
    </row>
    <row r="56" spans="1:10" hidden="1">
      <c r="A56" s="69" t="str">
        <f t="shared" si="4"/>
        <v>Tomato</v>
      </c>
      <c r="B56" s="70">
        <f t="shared" si="5"/>
        <v>0</v>
      </c>
      <c r="C56" s="70">
        <f t="shared" si="6"/>
        <v>0</v>
      </c>
      <c r="D56" s="70">
        <f t="shared" si="7"/>
        <v>0</v>
      </c>
      <c r="E56" s="630">
        <f t="shared" si="8"/>
        <v>0</v>
      </c>
      <c r="F56" s="630">
        <f t="shared" si="9"/>
        <v>0</v>
      </c>
      <c r="G56" s="630">
        <f t="shared" si="10"/>
        <v>0</v>
      </c>
      <c r="H56" s="630">
        <f t="shared" si="11"/>
        <v>0</v>
      </c>
      <c r="I56" s="224"/>
      <c r="J56" s="224"/>
    </row>
    <row r="57" spans="1:10" hidden="1">
      <c r="A57" s="69" t="str">
        <f t="shared" si="4"/>
        <v>Okra</v>
      </c>
      <c r="B57" s="70">
        <f t="shared" si="5"/>
        <v>0</v>
      </c>
      <c r="C57" s="70">
        <f t="shared" si="6"/>
        <v>0</v>
      </c>
      <c r="D57" s="70">
        <f t="shared" si="7"/>
        <v>0</v>
      </c>
      <c r="E57" s="630">
        <f t="shared" si="8"/>
        <v>0</v>
      </c>
      <c r="F57" s="630">
        <f t="shared" si="9"/>
        <v>0</v>
      </c>
      <c r="G57" s="630">
        <f t="shared" si="10"/>
        <v>0</v>
      </c>
      <c r="H57" s="630">
        <f t="shared" si="11"/>
        <v>0</v>
      </c>
      <c r="I57" s="224"/>
      <c r="J57" s="224"/>
    </row>
    <row r="58" spans="1:10" hidden="1">
      <c r="A58" s="69" t="str">
        <f t="shared" si="4"/>
        <v>Chilli</v>
      </c>
      <c r="B58" s="70">
        <f t="shared" si="5"/>
        <v>0</v>
      </c>
      <c r="C58" s="70">
        <f t="shared" si="6"/>
        <v>0</v>
      </c>
      <c r="D58" s="70">
        <f t="shared" si="7"/>
        <v>0</v>
      </c>
      <c r="E58" s="630">
        <f t="shared" si="8"/>
        <v>0</v>
      </c>
      <c r="F58" s="630">
        <f t="shared" si="9"/>
        <v>0</v>
      </c>
      <c r="G58" s="630">
        <f t="shared" si="10"/>
        <v>0</v>
      </c>
      <c r="H58" s="630">
        <f t="shared" si="11"/>
        <v>0</v>
      </c>
      <c r="I58" s="224"/>
      <c r="J58" s="224"/>
    </row>
    <row r="59" spans="1:10" hidden="1">
      <c r="A59" s="69" t="str">
        <f t="shared" si="4"/>
        <v>Brinjal</v>
      </c>
      <c r="B59" s="70">
        <f t="shared" si="5"/>
        <v>0</v>
      </c>
      <c r="C59" s="70">
        <f t="shared" si="6"/>
        <v>0</v>
      </c>
      <c r="D59" s="70">
        <f t="shared" si="7"/>
        <v>0</v>
      </c>
      <c r="E59" s="630">
        <f t="shared" si="8"/>
        <v>0</v>
      </c>
      <c r="F59" s="630">
        <f t="shared" si="9"/>
        <v>0</v>
      </c>
      <c r="G59" s="630">
        <f t="shared" si="10"/>
        <v>0</v>
      </c>
      <c r="H59" s="630">
        <f t="shared" si="11"/>
        <v>0</v>
      </c>
      <c r="I59" s="224"/>
      <c r="J59" s="224"/>
    </row>
    <row r="60" spans="1:10" hidden="1">
      <c r="A60" s="69" t="str">
        <f t="shared" si="4"/>
        <v>Ginger</v>
      </c>
      <c r="B60" s="70">
        <f t="shared" si="5"/>
        <v>0</v>
      </c>
      <c r="C60" s="70">
        <f t="shared" si="6"/>
        <v>0</v>
      </c>
      <c r="D60" s="70">
        <f t="shared" si="7"/>
        <v>0</v>
      </c>
      <c r="E60" s="630">
        <f t="shared" si="8"/>
        <v>0</v>
      </c>
      <c r="F60" s="630">
        <f t="shared" si="9"/>
        <v>0</v>
      </c>
      <c r="G60" s="630">
        <f t="shared" si="10"/>
        <v>0</v>
      </c>
      <c r="H60" s="630">
        <f t="shared" si="11"/>
        <v>0</v>
      </c>
      <c r="I60" s="224"/>
      <c r="J60" s="224"/>
    </row>
    <row r="61" spans="1:10" hidden="1">
      <c r="A61" s="69">
        <f t="shared" si="4"/>
        <v>0</v>
      </c>
      <c r="B61" s="70">
        <f t="shared" si="5"/>
        <v>0</v>
      </c>
      <c r="C61" s="70">
        <f t="shared" si="6"/>
        <v>0</v>
      </c>
      <c r="D61" s="70">
        <f t="shared" si="7"/>
        <v>0</v>
      </c>
      <c r="E61" s="630">
        <f t="shared" si="8"/>
        <v>0</v>
      </c>
      <c r="F61" s="630">
        <f t="shared" si="9"/>
        <v>0</v>
      </c>
      <c r="G61" s="630">
        <f t="shared" si="10"/>
        <v>0</v>
      </c>
      <c r="H61" s="630">
        <f t="shared" si="11"/>
        <v>0</v>
      </c>
      <c r="I61" s="224"/>
      <c r="J61" s="224"/>
    </row>
    <row r="62" spans="1:10" hidden="1">
      <c r="A62" s="69">
        <f t="shared" si="4"/>
        <v>0</v>
      </c>
      <c r="B62" s="70">
        <f t="shared" si="5"/>
        <v>0</v>
      </c>
      <c r="C62" s="70">
        <f t="shared" si="6"/>
        <v>0</v>
      </c>
      <c r="D62" s="70">
        <f t="shared" si="7"/>
        <v>0</v>
      </c>
      <c r="E62" s="630">
        <f t="shared" si="8"/>
        <v>0</v>
      </c>
      <c r="F62" s="630">
        <f t="shared" si="9"/>
        <v>0</v>
      </c>
      <c r="G62" s="630">
        <f t="shared" si="10"/>
        <v>0</v>
      </c>
      <c r="H62" s="630">
        <f t="shared" si="11"/>
        <v>0</v>
      </c>
      <c r="I62" s="224"/>
      <c r="J62" s="224"/>
    </row>
    <row r="63" spans="1:10" hidden="1">
      <c r="A63" s="69" t="str">
        <f t="shared" si="4"/>
        <v>Spinach</v>
      </c>
      <c r="B63" s="70">
        <f t="shared" si="5"/>
        <v>0</v>
      </c>
      <c r="C63" s="70">
        <f t="shared" si="6"/>
        <v>0</v>
      </c>
      <c r="D63" s="70">
        <f t="shared" si="7"/>
        <v>0</v>
      </c>
      <c r="E63" s="630">
        <f t="shared" si="8"/>
        <v>0</v>
      </c>
      <c r="F63" s="630">
        <f t="shared" si="9"/>
        <v>0</v>
      </c>
      <c r="G63" s="630">
        <f t="shared" si="10"/>
        <v>0</v>
      </c>
      <c r="H63" s="630">
        <f t="shared" si="11"/>
        <v>0</v>
      </c>
      <c r="I63" s="224"/>
      <c r="J63" s="224"/>
    </row>
    <row r="64" spans="1:10" hidden="1">
      <c r="A64" s="69" t="str">
        <f>A35</f>
        <v>Pomegranate</v>
      </c>
      <c r="B64" s="70">
        <f t="shared" ref="B64:H66" si="12">D35*$B$43</f>
        <v>0</v>
      </c>
      <c r="C64" s="70">
        <f t="shared" si="12"/>
        <v>0</v>
      </c>
      <c r="D64" s="70">
        <f t="shared" si="12"/>
        <v>0</v>
      </c>
      <c r="E64" s="630">
        <f t="shared" si="12"/>
        <v>0</v>
      </c>
      <c r="F64" s="630">
        <f t="shared" si="12"/>
        <v>0</v>
      </c>
      <c r="G64" s="630">
        <f t="shared" si="12"/>
        <v>0</v>
      </c>
      <c r="H64" s="630">
        <f t="shared" si="12"/>
        <v>0</v>
      </c>
      <c r="I64" s="224"/>
      <c r="J64" s="224"/>
    </row>
    <row r="65" spans="1:10" hidden="1">
      <c r="A65" s="69" t="str">
        <f>A36</f>
        <v>Banana</v>
      </c>
      <c r="B65" s="70">
        <f t="shared" si="12"/>
        <v>0</v>
      </c>
      <c r="C65" s="70">
        <f t="shared" si="12"/>
        <v>0</v>
      </c>
      <c r="D65" s="70">
        <f t="shared" si="12"/>
        <v>0</v>
      </c>
      <c r="E65" s="630">
        <f t="shared" si="12"/>
        <v>0</v>
      </c>
      <c r="F65" s="630">
        <f t="shared" si="12"/>
        <v>0</v>
      </c>
      <c r="G65" s="630">
        <f t="shared" si="12"/>
        <v>0</v>
      </c>
      <c r="H65" s="630">
        <f t="shared" si="12"/>
        <v>0</v>
      </c>
      <c r="I65" s="224"/>
      <c r="J65" s="224"/>
    </row>
    <row r="66" spans="1:10" hidden="1">
      <c r="A66" s="69" t="str">
        <f>A37</f>
        <v>Graps</v>
      </c>
      <c r="B66" s="70">
        <f t="shared" si="12"/>
        <v>0</v>
      </c>
      <c r="C66" s="70">
        <f t="shared" si="12"/>
        <v>0</v>
      </c>
      <c r="D66" s="70">
        <f t="shared" si="12"/>
        <v>0</v>
      </c>
      <c r="E66" s="630">
        <f t="shared" si="12"/>
        <v>0</v>
      </c>
      <c r="F66" s="630">
        <f t="shared" si="12"/>
        <v>0</v>
      </c>
      <c r="G66" s="630">
        <f t="shared" si="12"/>
        <v>0</v>
      </c>
      <c r="H66" s="630">
        <f t="shared" si="12"/>
        <v>0</v>
      </c>
      <c r="I66" s="224"/>
      <c r="J66" s="224"/>
    </row>
    <row r="67" spans="1:10" hidden="1">
      <c r="A67" s="69" t="str">
        <f>A39</f>
        <v>Citrus</v>
      </c>
      <c r="B67" s="70">
        <f t="shared" ref="B67:H67" si="13">D39*$B$43</f>
        <v>0</v>
      </c>
      <c r="C67" s="70">
        <f t="shared" si="13"/>
        <v>0</v>
      </c>
      <c r="D67" s="70">
        <f t="shared" si="13"/>
        <v>0</v>
      </c>
      <c r="E67" s="630">
        <f t="shared" si="13"/>
        <v>0</v>
      </c>
      <c r="F67" s="630">
        <f t="shared" si="13"/>
        <v>0</v>
      </c>
      <c r="G67" s="630">
        <f t="shared" si="13"/>
        <v>0</v>
      </c>
      <c r="H67" s="630">
        <f t="shared" si="13"/>
        <v>0</v>
      </c>
      <c r="I67" s="224"/>
      <c r="J67" s="224"/>
    </row>
    <row r="68" spans="1:10" hidden="1">
      <c r="A68" s="71" t="s">
        <v>287</v>
      </c>
      <c r="B68" s="69"/>
      <c r="C68" s="69"/>
      <c r="D68" s="69"/>
      <c r="E68" s="226"/>
      <c r="F68" s="226"/>
      <c r="G68" s="226"/>
      <c r="H68" s="226"/>
      <c r="I68" s="224"/>
      <c r="J68" s="224"/>
    </row>
    <row r="69" spans="1:10" hidden="1">
      <c r="A69" s="69" t="str">
        <f>A46</f>
        <v>Exotic Vegitables</v>
      </c>
      <c r="B69" s="155"/>
      <c r="C69" s="155"/>
      <c r="D69" s="155"/>
      <c r="E69" s="226"/>
      <c r="F69" s="226"/>
      <c r="G69" s="226"/>
      <c r="H69" s="226"/>
      <c r="I69" s="224"/>
      <c r="J69" s="224"/>
    </row>
    <row r="70" spans="1:10" hidden="1">
      <c r="A70" s="69"/>
      <c r="B70" s="155"/>
      <c r="C70" s="155"/>
      <c r="D70" s="155"/>
      <c r="E70" s="226"/>
      <c r="F70" s="226"/>
      <c r="G70" s="226"/>
      <c r="H70" s="226"/>
      <c r="I70" s="224"/>
      <c r="J70" s="224"/>
    </row>
    <row r="71" spans="1:10" hidden="1">
      <c r="A71" s="69"/>
      <c r="B71" s="155"/>
      <c r="C71" s="155"/>
      <c r="D71" s="155"/>
      <c r="E71" s="226"/>
      <c r="F71" s="226"/>
      <c r="G71" s="226"/>
      <c r="H71" s="226"/>
      <c r="I71" s="224"/>
      <c r="J71" s="224"/>
    </row>
    <row r="72" spans="1:10" hidden="1">
      <c r="A72" s="69"/>
      <c r="B72" s="155"/>
      <c r="C72" s="155"/>
      <c r="D72" s="155"/>
      <c r="E72" s="226"/>
      <c r="F72" s="226"/>
      <c r="G72" s="226"/>
      <c r="H72" s="226"/>
      <c r="I72" s="224"/>
      <c r="J72" s="224"/>
    </row>
    <row r="73" spans="1:10" hidden="1">
      <c r="A73" s="69" t="str">
        <f>A47</f>
        <v>Tomato</v>
      </c>
      <c r="B73" s="70"/>
      <c r="C73" s="70"/>
      <c r="D73" s="70"/>
      <c r="E73" s="630"/>
      <c r="F73" s="630"/>
      <c r="G73" s="630"/>
      <c r="H73" s="630"/>
      <c r="I73" s="224"/>
      <c r="J73" s="224"/>
    </row>
    <row r="74" spans="1:10" hidden="1">
      <c r="A74" s="69"/>
      <c r="B74" s="70"/>
      <c r="C74" s="70"/>
      <c r="D74" s="70"/>
      <c r="E74" s="630"/>
      <c r="F74" s="630"/>
      <c r="G74" s="630"/>
      <c r="H74" s="630"/>
      <c r="I74" s="224"/>
      <c r="J74" s="224"/>
    </row>
    <row r="75" spans="1:10" hidden="1">
      <c r="A75" s="69"/>
      <c r="B75" s="70"/>
      <c r="C75" s="70"/>
      <c r="D75" s="70"/>
      <c r="E75" s="630"/>
      <c r="F75" s="630"/>
      <c r="G75" s="630"/>
      <c r="H75" s="630"/>
      <c r="I75" s="224"/>
      <c r="J75" s="224"/>
    </row>
    <row r="76" spans="1:10" hidden="1">
      <c r="A76" s="69"/>
      <c r="B76" s="70"/>
      <c r="C76" s="70"/>
      <c r="D76" s="70"/>
      <c r="E76" s="630"/>
      <c r="F76" s="630"/>
      <c r="G76" s="630"/>
      <c r="H76" s="630"/>
      <c r="I76" s="224"/>
      <c r="J76" s="224"/>
    </row>
    <row r="77" spans="1:10" hidden="1">
      <c r="A77" s="69" t="str">
        <f>A48</f>
        <v>Okra</v>
      </c>
      <c r="B77" s="70"/>
      <c r="C77" s="70"/>
      <c r="D77" s="70"/>
      <c r="E77" s="630"/>
      <c r="F77" s="630"/>
      <c r="G77" s="630"/>
      <c r="H77" s="630"/>
      <c r="I77" s="224"/>
      <c r="J77" s="224"/>
    </row>
    <row r="78" spans="1:10" hidden="1">
      <c r="A78" s="69"/>
      <c r="B78" s="70"/>
      <c r="C78" s="70"/>
      <c r="D78" s="70"/>
      <c r="E78" s="630"/>
      <c r="F78" s="630"/>
      <c r="G78" s="630"/>
      <c r="H78" s="630"/>
      <c r="I78" s="224"/>
      <c r="J78" s="224"/>
    </row>
    <row r="79" spans="1:10" hidden="1">
      <c r="A79" s="69"/>
      <c r="B79" s="70"/>
      <c r="C79" s="70"/>
      <c r="D79" s="70"/>
      <c r="E79" s="630"/>
      <c r="F79" s="630"/>
      <c r="G79" s="630"/>
      <c r="H79" s="630"/>
      <c r="I79" s="224"/>
      <c r="J79" s="224"/>
    </row>
    <row r="80" spans="1:10" hidden="1">
      <c r="A80" s="69"/>
      <c r="B80" s="70"/>
      <c r="C80" s="70"/>
      <c r="D80" s="70"/>
      <c r="E80" s="630"/>
      <c r="F80" s="630"/>
      <c r="G80" s="630"/>
      <c r="H80" s="630"/>
      <c r="I80" s="224"/>
      <c r="J80" s="224"/>
    </row>
    <row r="81" spans="1:10" hidden="1">
      <c r="A81" s="69" t="str">
        <f>A49</f>
        <v>Chilli</v>
      </c>
      <c r="B81" s="70"/>
      <c r="C81" s="70"/>
      <c r="D81" s="70"/>
      <c r="E81" s="630"/>
      <c r="F81" s="630"/>
      <c r="G81" s="630"/>
      <c r="H81" s="630"/>
      <c r="I81" s="224"/>
      <c r="J81" s="224"/>
    </row>
    <row r="82" spans="1:10" hidden="1">
      <c r="A82" s="69"/>
      <c r="B82" s="70"/>
      <c r="C82" s="70"/>
      <c r="D82" s="70"/>
      <c r="E82" s="630"/>
      <c r="F82" s="630"/>
      <c r="G82" s="630"/>
      <c r="H82" s="630"/>
      <c r="I82" s="224"/>
      <c r="J82" s="224"/>
    </row>
    <row r="83" spans="1:10" hidden="1">
      <c r="A83" s="69"/>
      <c r="B83" s="70"/>
      <c r="C83" s="70"/>
      <c r="D83" s="70"/>
      <c r="E83" s="630"/>
      <c r="F83" s="630"/>
      <c r="G83" s="630"/>
      <c r="H83" s="630"/>
      <c r="I83" s="224"/>
      <c r="J83" s="224"/>
    </row>
    <row r="84" spans="1:10" hidden="1">
      <c r="A84" s="69"/>
      <c r="B84" s="70"/>
      <c r="C84" s="70"/>
      <c r="D84" s="70"/>
      <c r="E84" s="630"/>
      <c r="F84" s="630"/>
      <c r="G84" s="630"/>
      <c r="H84" s="630"/>
      <c r="I84" s="224"/>
      <c r="J84" s="224"/>
    </row>
    <row r="85" spans="1:10" hidden="1">
      <c r="A85" s="69" t="str">
        <f>A50</f>
        <v>Potato</v>
      </c>
      <c r="B85" s="70"/>
      <c r="C85" s="70"/>
      <c r="D85" s="70"/>
      <c r="E85" s="630"/>
      <c r="F85" s="630"/>
      <c r="G85" s="630"/>
      <c r="H85" s="630"/>
      <c r="I85" s="224"/>
      <c r="J85" s="224"/>
    </row>
    <row r="86" spans="1:10" hidden="1">
      <c r="A86" s="69"/>
      <c r="B86" s="70"/>
      <c r="C86" s="70"/>
      <c r="D86" s="70"/>
      <c r="E86" s="630"/>
      <c r="F86" s="630"/>
      <c r="G86" s="630"/>
      <c r="H86" s="630"/>
      <c r="I86" s="224"/>
      <c r="J86" s="224"/>
    </row>
    <row r="87" spans="1:10" hidden="1">
      <c r="A87" s="69"/>
      <c r="B87" s="70"/>
      <c r="C87" s="70"/>
      <c r="D87" s="70"/>
      <c r="E87" s="630"/>
      <c r="F87" s="630"/>
      <c r="G87" s="630"/>
      <c r="H87" s="630"/>
      <c r="I87" s="224"/>
      <c r="J87" s="224"/>
    </row>
    <row r="88" spans="1:10" hidden="1">
      <c r="A88" s="69"/>
      <c r="B88" s="70"/>
      <c r="C88" s="70"/>
      <c r="D88" s="70"/>
      <c r="E88" s="630"/>
      <c r="F88" s="630"/>
      <c r="G88" s="630"/>
      <c r="H88" s="630"/>
      <c r="I88" s="224"/>
      <c r="J88" s="224"/>
    </row>
    <row r="89" spans="1:10" hidden="1">
      <c r="A89" s="69" t="str">
        <f>A51</f>
        <v>Cabbage</v>
      </c>
      <c r="B89" s="70"/>
      <c r="C89" s="70"/>
      <c r="D89" s="70"/>
      <c r="E89" s="630"/>
      <c r="F89" s="630"/>
      <c r="G89" s="630"/>
      <c r="H89" s="630"/>
      <c r="I89" s="224"/>
      <c r="J89" s="224"/>
    </row>
    <row r="90" spans="1:10" hidden="1">
      <c r="A90" s="69"/>
      <c r="B90" s="70"/>
      <c r="C90" s="70"/>
      <c r="D90" s="70"/>
      <c r="E90" s="630"/>
      <c r="F90" s="630"/>
      <c r="G90" s="630"/>
      <c r="H90" s="630"/>
      <c r="I90" s="224"/>
      <c r="J90" s="224"/>
    </row>
    <row r="91" spans="1:10" hidden="1">
      <c r="A91" s="69"/>
      <c r="B91" s="70"/>
      <c r="C91" s="70"/>
      <c r="D91" s="70"/>
      <c r="E91" s="630"/>
      <c r="F91" s="630"/>
      <c r="G91" s="630"/>
      <c r="H91" s="630"/>
      <c r="I91" s="224"/>
      <c r="J91" s="224"/>
    </row>
    <row r="92" spans="1:10" hidden="1">
      <c r="A92" s="69"/>
      <c r="B92" s="70"/>
      <c r="C92" s="70"/>
      <c r="D92" s="70"/>
      <c r="E92" s="630"/>
      <c r="F92" s="630"/>
      <c r="G92" s="630"/>
      <c r="H92" s="630"/>
      <c r="I92" s="224"/>
      <c r="J92" s="224"/>
    </row>
    <row r="93" spans="1:10" hidden="1">
      <c r="A93" s="69" t="str">
        <f>A52</f>
        <v>Coliflower</v>
      </c>
      <c r="B93" s="70"/>
      <c r="C93" s="70"/>
      <c r="D93" s="70"/>
      <c r="E93" s="630"/>
      <c r="F93" s="630"/>
      <c r="G93" s="630"/>
      <c r="H93" s="630"/>
      <c r="I93" s="224"/>
      <c r="J93" s="224"/>
    </row>
    <row r="94" spans="1:10" hidden="1">
      <c r="A94" s="69"/>
      <c r="B94" s="70"/>
      <c r="C94" s="70"/>
      <c r="D94" s="70"/>
      <c r="E94" s="630"/>
      <c r="F94" s="630"/>
      <c r="G94" s="630"/>
      <c r="H94" s="630"/>
      <c r="I94" s="224"/>
      <c r="J94" s="224"/>
    </row>
    <row r="95" spans="1:10" hidden="1">
      <c r="A95" s="69"/>
      <c r="B95" s="70"/>
      <c r="C95" s="70"/>
      <c r="D95" s="70"/>
      <c r="E95" s="630"/>
      <c r="F95" s="630"/>
      <c r="G95" s="630"/>
      <c r="H95" s="630"/>
      <c r="I95" s="224"/>
      <c r="J95" s="224"/>
    </row>
    <row r="96" spans="1:10" hidden="1">
      <c r="A96" s="69" t="str">
        <f>A53</f>
        <v>Bitter Gurd</v>
      </c>
      <c r="B96" s="70"/>
      <c r="C96" s="70"/>
      <c r="D96" s="70"/>
      <c r="E96" s="630"/>
      <c r="F96" s="630"/>
      <c r="G96" s="630"/>
      <c r="H96" s="630"/>
      <c r="I96" s="224"/>
      <c r="J96" s="224"/>
    </row>
    <row r="97" spans="1:10" hidden="1">
      <c r="A97" s="69"/>
      <c r="B97" s="70"/>
      <c r="C97" s="70"/>
      <c r="D97" s="70"/>
      <c r="E97" s="630"/>
      <c r="F97" s="630"/>
      <c r="G97" s="630"/>
      <c r="H97" s="630"/>
      <c r="I97" s="224"/>
      <c r="J97" s="224"/>
    </row>
    <row r="98" spans="1:10" hidden="1">
      <c r="A98" s="69"/>
      <c r="B98" s="70"/>
      <c r="C98" s="70"/>
      <c r="D98" s="70"/>
      <c r="E98" s="630"/>
      <c r="F98" s="630"/>
      <c r="G98" s="630"/>
      <c r="H98" s="630"/>
      <c r="I98" s="224"/>
      <c r="J98" s="224"/>
    </row>
    <row r="99" spans="1:10" hidden="1">
      <c r="A99" s="69"/>
      <c r="B99" s="70"/>
      <c r="C99" s="70"/>
      <c r="D99" s="70"/>
      <c r="E99" s="630"/>
      <c r="F99" s="630"/>
      <c r="G99" s="630"/>
      <c r="H99" s="630"/>
      <c r="I99" s="224"/>
      <c r="J99" s="224"/>
    </row>
    <row r="100" spans="1:10" hidden="1">
      <c r="A100" s="69">
        <f>A54</f>
        <v>0</v>
      </c>
      <c r="B100" s="70"/>
      <c r="C100" s="70"/>
      <c r="D100" s="70"/>
      <c r="E100" s="630"/>
      <c r="F100" s="630"/>
      <c r="G100" s="630"/>
      <c r="H100" s="630"/>
      <c r="I100" s="224"/>
      <c r="J100" s="224"/>
    </row>
    <row r="101" spans="1:10" hidden="1">
      <c r="A101" s="69"/>
      <c r="B101" s="70"/>
      <c r="C101" s="70"/>
      <c r="D101" s="70"/>
      <c r="E101" s="630"/>
      <c r="F101" s="630"/>
      <c r="G101" s="630"/>
      <c r="H101" s="630"/>
      <c r="I101" s="224"/>
      <c r="J101" s="224"/>
    </row>
    <row r="102" spans="1:10" hidden="1">
      <c r="A102" s="69"/>
      <c r="B102" s="70"/>
      <c r="C102" s="70"/>
      <c r="D102" s="70"/>
      <c r="E102" s="630"/>
      <c r="F102" s="630"/>
      <c r="G102" s="630"/>
      <c r="H102" s="630"/>
      <c r="I102" s="224"/>
      <c r="J102" s="224"/>
    </row>
    <row r="103" spans="1:10" hidden="1">
      <c r="A103" s="69"/>
      <c r="B103" s="70"/>
      <c r="C103" s="70"/>
      <c r="D103" s="70"/>
      <c r="E103" s="630"/>
      <c r="F103" s="630"/>
      <c r="G103" s="630"/>
      <c r="H103" s="630"/>
      <c r="I103" s="224"/>
      <c r="J103" s="224"/>
    </row>
    <row r="104" spans="1:10" hidden="1">
      <c r="A104" s="69" t="str">
        <f>A55</f>
        <v>Exotic Vegitables</v>
      </c>
      <c r="B104" s="70"/>
      <c r="C104" s="70"/>
      <c r="D104" s="70"/>
      <c r="E104" s="630"/>
      <c r="F104" s="630"/>
      <c r="G104" s="630"/>
      <c r="H104" s="630"/>
      <c r="I104" s="224"/>
      <c r="J104" s="224"/>
    </row>
    <row r="105" spans="1:10" hidden="1">
      <c r="A105" s="69"/>
      <c r="B105" s="70"/>
      <c r="C105" s="70"/>
      <c r="D105" s="70"/>
      <c r="E105" s="630"/>
      <c r="F105" s="630"/>
      <c r="G105" s="630"/>
      <c r="H105" s="630"/>
      <c r="I105" s="224"/>
      <c r="J105" s="224"/>
    </row>
    <row r="106" spans="1:10" hidden="1">
      <c r="A106" s="69"/>
      <c r="B106" s="70"/>
      <c r="C106" s="70"/>
      <c r="D106" s="70"/>
      <c r="E106" s="630"/>
      <c r="F106" s="630"/>
      <c r="G106" s="630"/>
      <c r="H106" s="630"/>
      <c r="I106" s="224"/>
      <c r="J106" s="224"/>
    </row>
    <row r="107" spans="1:10" hidden="1">
      <c r="A107" s="69"/>
      <c r="B107" s="70"/>
      <c r="C107" s="70"/>
      <c r="D107" s="70"/>
      <c r="E107" s="630"/>
      <c r="F107" s="630"/>
      <c r="G107" s="630"/>
      <c r="H107" s="630"/>
      <c r="I107" s="224"/>
      <c r="J107" s="224"/>
    </row>
    <row r="108" spans="1:10" hidden="1">
      <c r="A108" s="69" t="str">
        <f>A56</f>
        <v>Tomato</v>
      </c>
      <c r="B108" s="70"/>
      <c r="C108" s="70"/>
      <c r="D108" s="70"/>
      <c r="E108" s="630"/>
      <c r="F108" s="630"/>
      <c r="G108" s="630"/>
      <c r="H108" s="630"/>
      <c r="I108" s="224"/>
      <c r="J108" s="224"/>
    </row>
    <row r="109" spans="1:10" hidden="1">
      <c r="A109" s="69"/>
      <c r="B109" s="70"/>
      <c r="C109" s="70"/>
      <c r="D109" s="70"/>
      <c r="E109" s="630"/>
      <c r="F109" s="630"/>
      <c r="G109" s="630"/>
      <c r="H109" s="630"/>
      <c r="I109" s="224"/>
      <c r="J109" s="224"/>
    </row>
    <row r="110" spans="1:10" hidden="1">
      <c r="A110" s="69"/>
      <c r="B110" s="70"/>
      <c r="C110" s="70"/>
      <c r="D110" s="70"/>
      <c r="E110" s="630"/>
      <c r="F110" s="630"/>
      <c r="G110" s="630"/>
      <c r="H110" s="630"/>
      <c r="I110" s="224"/>
      <c r="J110" s="224"/>
    </row>
    <row r="111" spans="1:10" hidden="1">
      <c r="A111" s="69"/>
      <c r="B111" s="70"/>
      <c r="C111" s="70"/>
      <c r="D111" s="70"/>
      <c r="E111" s="630"/>
      <c r="F111" s="630"/>
      <c r="G111" s="630"/>
      <c r="H111" s="630"/>
      <c r="I111" s="224"/>
      <c r="J111" s="224"/>
    </row>
    <row r="112" spans="1:10" hidden="1">
      <c r="A112" s="69" t="str">
        <f>A57</f>
        <v>Okra</v>
      </c>
      <c r="B112" s="70"/>
      <c r="C112" s="70"/>
      <c r="D112" s="70"/>
      <c r="E112" s="630"/>
      <c r="F112" s="630"/>
      <c r="G112" s="630"/>
      <c r="H112" s="630"/>
      <c r="I112" s="224"/>
      <c r="J112" s="224"/>
    </row>
    <row r="113" spans="1:10" hidden="1">
      <c r="A113" s="69"/>
      <c r="B113" s="70"/>
      <c r="C113" s="70"/>
      <c r="D113" s="70"/>
      <c r="E113" s="630"/>
      <c r="F113" s="630"/>
      <c r="G113" s="630"/>
      <c r="H113" s="630"/>
      <c r="I113" s="224"/>
      <c r="J113" s="224"/>
    </row>
    <row r="114" spans="1:10" hidden="1">
      <c r="A114" s="69"/>
      <c r="B114" s="70"/>
      <c r="C114" s="70"/>
      <c r="D114" s="70"/>
      <c r="E114" s="630"/>
      <c r="F114" s="630"/>
      <c r="G114" s="630"/>
      <c r="H114" s="630"/>
      <c r="I114" s="224"/>
      <c r="J114" s="224"/>
    </row>
    <row r="115" spans="1:10" hidden="1">
      <c r="A115" s="69"/>
      <c r="B115" s="70"/>
      <c r="C115" s="70"/>
      <c r="D115" s="70"/>
      <c r="E115" s="630"/>
      <c r="F115" s="630"/>
      <c r="G115" s="630"/>
      <c r="H115" s="630"/>
      <c r="I115" s="224"/>
      <c r="J115" s="224"/>
    </row>
    <row r="116" spans="1:10" hidden="1">
      <c r="A116" s="69" t="str">
        <f>A58</f>
        <v>Chilli</v>
      </c>
      <c r="B116" s="70"/>
      <c r="C116" s="70"/>
      <c r="D116" s="70"/>
      <c r="E116" s="630"/>
      <c r="F116" s="630"/>
      <c r="G116" s="630"/>
      <c r="H116" s="630"/>
      <c r="I116" s="224"/>
      <c r="J116" s="224"/>
    </row>
    <row r="117" spans="1:10" hidden="1">
      <c r="A117" s="69"/>
      <c r="B117" s="70"/>
      <c r="C117" s="70"/>
      <c r="D117" s="70"/>
      <c r="E117" s="630"/>
      <c r="F117" s="630"/>
      <c r="G117" s="630"/>
      <c r="H117" s="630"/>
      <c r="I117" s="224"/>
      <c r="J117" s="224"/>
    </row>
    <row r="118" spans="1:10" hidden="1">
      <c r="A118" s="69"/>
      <c r="B118" s="70"/>
      <c r="C118" s="70"/>
      <c r="D118" s="70"/>
      <c r="E118" s="630"/>
      <c r="F118" s="630"/>
      <c r="G118" s="630"/>
      <c r="H118" s="630"/>
      <c r="I118" s="224"/>
      <c r="J118" s="224"/>
    </row>
    <row r="119" spans="1:10" hidden="1">
      <c r="A119" s="69"/>
      <c r="B119" s="70"/>
      <c r="C119" s="70"/>
      <c r="D119" s="70"/>
      <c r="E119" s="630"/>
      <c r="F119" s="630"/>
      <c r="G119" s="630"/>
      <c r="H119" s="630"/>
      <c r="I119" s="224"/>
      <c r="J119" s="224"/>
    </row>
    <row r="120" spans="1:10" hidden="1">
      <c r="A120" s="71" t="str">
        <f t="shared" ref="A120:A125" si="14">A59</f>
        <v>Brinjal</v>
      </c>
      <c r="B120" s="70"/>
      <c r="C120" s="70"/>
      <c r="D120" s="70"/>
      <c r="E120" s="630"/>
      <c r="F120" s="630"/>
      <c r="G120" s="630"/>
      <c r="H120" s="630"/>
      <c r="I120" s="224"/>
      <c r="J120" s="224"/>
    </row>
    <row r="121" spans="1:10" hidden="1">
      <c r="A121" s="69" t="str">
        <f t="shared" si="14"/>
        <v>Ginger</v>
      </c>
      <c r="B121" s="70"/>
      <c r="C121" s="70"/>
      <c r="D121" s="70"/>
      <c r="E121" s="630"/>
      <c r="F121" s="630"/>
      <c r="G121" s="630"/>
      <c r="H121" s="630"/>
      <c r="I121" s="224"/>
      <c r="J121" s="224"/>
    </row>
    <row r="122" spans="1:10" hidden="1">
      <c r="A122" s="69">
        <f t="shared" si="14"/>
        <v>0</v>
      </c>
      <c r="B122" s="70"/>
      <c r="C122" s="70"/>
      <c r="D122" s="70"/>
      <c r="E122" s="630"/>
      <c r="F122" s="630"/>
      <c r="G122" s="630"/>
      <c r="H122" s="630"/>
      <c r="I122" s="224"/>
      <c r="J122" s="224"/>
    </row>
    <row r="123" spans="1:10" hidden="1">
      <c r="A123" s="69">
        <f t="shared" si="14"/>
        <v>0</v>
      </c>
      <c r="B123" s="70"/>
      <c r="C123" s="70"/>
      <c r="D123" s="70"/>
      <c r="E123" s="630"/>
      <c r="F123" s="630"/>
      <c r="G123" s="630"/>
      <c r="H123" s="630"/>
      <c r="I123" s="224"/>
      <c r="J123" s="224"/>
    </row>
    <row r="124" spans="1:10" hidden="1">
      <c r="A124" s="69" t="str">
        <f t="shared" si="14"/>
        <v>Spinach</v>
      </c>
      <c r="B124" s="70"/>
      <c r="C124" s="70"/>
      <c r="D124" s="70"/>
      <c r="E124" s="630"/>
      <c r="F124" s="630"/>
      <c r="G124" s="630"/>
      <c r="H124" s="630"/>
      <c r="I124" s="224"/>
      <c r="J124" s="224"/>
    </row>
    <row r="125" spans="1:10" hidden="1">
      <c r="A125" s="71" t="str">
        <f t="shared" si="14"/>
        <v>Pomegranate</v>
      </c>
      <c r="B125" s="70"/>
      <c r="C125" s="70"/>
      <c r="D125" s="70"/>
      <c r="E125" s="630"/>
      <c r="F125" s="630"/>
      <c r="G125" s="630"/>
      <c r="H125" s="630"/>
      <c r="I125" s="224"/>
      <c r="J125" s="224"/>
    </row>
    <row r="126" spans="1:10" hidden="1">
      <c r="A126" s="69" t="s">
        <v>522</v>
      </c>
      <c r="B126" s="70">
        <f>(B$64*50%)*0.7</f>
        <v>0</v>
      </c>
      <c r="C126" s="70">
        <f>(C$64*50%)*0.7</f>
        <v>0</v>
      </c>
      <c r="D126" s="70">
        <f t="shared" ref="D126:H128" si="15">(D$64*50%)*0.7</f>
        <v>0</v>
      </c>
      <c r="E126" s="630">
        <f t="shared" si="15"/>
        <v>0</v>
      </c>
      <c r="F126" s="630">
        <f t="shared" si="15"/>
        <v>0</v>
      </c>
      <c r="G126" s="630">
        <f t="shared" si="15"/>
        <v>0</v>
      </c>
      <c r="H126" s="630">
        <f t="shared" si="15"/>
        <v>0</v>
      </c>
      <c r="I126" s="224"/>
      <c r="J126" s="224"/>
    </row>
    <row r="127" spans="1:10" hidden="1">
      <c r="A127" s="69" t="s">
        <v>520</v>
      </c>
      <c r="B127" s="70">
        <f>(B$64*50%)*0.7*2</f>
        <v>0</v>
      </c>
      <c r="C127" s="70">
        <f>(C$64*50%)*0.7</f>
        <v>0</v>
      </c>
      <c r="D127" s="70">
        <f t="shared" si="15"/>
        <v>0</v>
      </c>
      <c r="E127" s="630">
        <f t="shared" si="15"/>
        <v>0</v>
      </c>
      <c r="F127" s="630">
        <f t="shared" si="15"/>
        <v>0</v>
      </c>
      <c r="G127" s="630">
        <f t="shared" si="15"/>
        <v>0</v>
      </c>
      <c r="H127" s="630">
        <f t="shared" si="15"/>
        <v>0</v>
      </c>
      <c r="I127" s="224"/>
      <c r="J127" s="224"/>
    </row>
    <row r="128" spans="1:10" hidden="1">
      <c r="A128" s="69" t="s">
        <v>521</v>
      </c>
      <c r="B128" s="70">
        <f>(B$64*0.3)*0.2</f>
        <v>0</v>
      </c>
      <c r="C128" s="70">
        <f>(C$64*50%)*0.7</f>
        <v>0</v>
      </c>
      <c r="D128" s="70">
        <f t="shared" si="15"/>
        <v>0</v>
      </c>
      <c r="E128" s="630">
        <f t="shared" si="15"/>
        <v>0</v>
      </c>
      <c r="F128" s="630">
        <f t="shared" si="15"/>
        <v>0</v>
      </c>
      <c r="G128" s="630">
        <f t="shared" si="15"/>
        <v>0</v>
      </c>
      <c r="H128" s="630">
        <f t="shared" si="15"/>
        <v>0</v>
      </c>
      <c r="I128" s="224"/>
      <c r="J128" s="224"/>
    </row>
    <row r="129" spans="1:10" hidden="1">
      <c r="A129" s="69" t="str">
        <f>A65</f>
        <v>Banana</v>
      </c>
      <c r="B129" s="70"/>
      <c r="C129" s="70"/>
      <c r="D129" s="70"/>
      <c r="E129" s="630"/>
      <c r="F129" s="630"/>
      <c r="G129" s="630"/>
      <c r="H129" s="630"/>
      <c r="I129" s="224"/>
      <c r="J129" s="224"/>
    </row>
    <row r="130" spans="1:10" hidden="1">
      <c r="A130" s="69"/>
      <c r="B130" s="70"/>
      <c r="C130" s="70"/>
      <c r="D130" s="70"/>
      <c r="E130" s="630"/>
      <c r="F130" s="630"/>
      <c r="G130" s="630"/>
      <c r="H130" s="630"/>
      <c r="I130" s="224"/>
      <c r="J130" s="224"/>
    </row>
    <row r="131" spans="1:10" hidden="1">
      <c r="A131" s="69"/>
      <c r="B131" s="70"/>
      <c r="C131" s="70"/>
      <c r="D131" s="70"/>
      <c r="E131" s="630"/>
      <c r="F131" s="630"/>
      <c r="G131" s="630"/>
      <c r="H131" s="630"/>
      <c r="I131" s="224"/>
      <c r="J131" s="224"/>
    </row>
    <row r="132" spans="1:10" hidden="1">
      <c r="A132" s="69"/>
      <c r="B132" s="70"/>
      <c r="C132" s="70"/>
      <c r="D132" s="70"/>
      <c r="E132" s="630"/>
      <c r="F132" s="630"/>
      <c r="G132" s="630"/>
      <c r="H132" s="630"/>
      <c r="I132" s="224"/>
      <c r="J132" s="224"/>
    </row>
    <row r="133" spans="1:10" hidden="1">
      <c r="A133" s="69" t="str">
        <f>A66</f>
        <v>Graps</v>
      </c>
      <c r="B133" s="70"/>
      <c r="C133" s="70"/>
      <c r="D133" s="70"/>
      <c r="E133" s="630"/>
      <c r="F133" s="630"/>
      <c r="G133" s="630"/>
      <c r="H133" s="630"/>
      <c r="I133" s="224"/>
      <c r="J133" s="224"/>
    </row>
    <row r="134" spans="1:10" hidden="1">
      <c r="A134" s="69"/>
      <c r="B134" s="70"/>
      <c r="C134" s="70"/>
      <c r="D134" s="70"/>
      <c r="E134" s="630"/>
      <c r="F134" s="630"/>
      <c r="G134" s="630"/>
      <c r="H134" s="630"/>
      <c r="I134" s="224"/>
      <c r="J134" s="224"/>
    </row>
    <row r="135" spans="1:10" hidden="1">
      <c r="A135" s="69"/>
      <c r="B135" s="70"/>
      <c r="C135" s="70"/>
      <c r="D135" s="70"/>
      <c r="E135" s="630"/>
      <c r="F135" s="630"/>
      <c r="G135" s="630"/>
      <c r="H135" s="630"/>
      <c r="I135" s="224"/>
      <c r="J135" s="224"/>
    </row>
    <row r="136" spans="1:10" hidden="1">
      <c r="A136" s="69"/>
      <c r="B136" s="70"/>
      <c r="C136" s="70"/>
      <c r="D136" s="70"/>
      <c r="E136" s="630"/>
      <c r="F136" s="630"/>
      <c r="G136" s="630"/>
      <c r="H136" s="630"/>
      <c r="I136" s="224"/>
      <c r="J136" s="224"/>
    </row>
    <row r="137" spans="1:10" hidden="1">
      <c r="A137" s="69" t="str">
        <f>A67</f>
        <v>Citrus</v>
      </c>
      <c r="B137" s="70"/>
      <c r="C137" s="70"/>
      <c r="D137" s="70"/>
      <c r="E137" s="630"/>
      <c r="F137" s="630"/>
      <c r="G137" s="630"/>
      <c r="H137" s="630"/>
      <c r="I137" s="224"/>
      <c r="J137" s="224"/>
    </row>
    <row r="138" spans="1:10" hidden="1">
      <c r="A138" s="69"/>
      <c r="B138" s="70"/>
      <c r="C138" s="70"/>
      <c r="D138" s="70"/>
      <c r="E138" s="630"/>
      <c r="F138" s="630"/>
      <c r="G138" s="630"/>
      <c r="H138" s="630"/>
      <c r="I138" s="224"/>
      <c r="J138" s="224"/>
    </row>
    <row r="139" spans="1:10" hidden="1">
      <c r="A139" s="69"/>
      <c r="B139" s="70"/>
      <c r="C139" s="70"/>
      <c r="D139" s="70"/>
      <c r="E139" s="630"/>
      <c r="F139" s="630"/>
      <c r="G139" s="630"/>
      <c r="H139" s="630"/>
      <c r="I139" s="224"/>
      <c r="J139" s="224"/>
    </row>
    <row r="140" spans="1:10" hidden="1">
      <c r="A140" s="69"/>
      <c r="B140" s="70"/>
      <c r="C140" s="70"/>
      <c r="D140" s="70"/>
      <c r="E140" s="630"/>
      <c r="F140" s="630"/>
      <c r="G140" s="630"/>
      <c r="H140" s="630"/>
      <c r="I140" s="224"/>
      <c r="J140" s="224"/>
    </row>
    <row r="141" spans="1:10" hidden="1">
      <c r="A141" s="68"/>
      <c r="B141" s="221"/>
      <c r="C141" s="221"/>
      <c r="D141" s="221"/>
      <c r="E141" s="631"/>
      <c r="F141" s="631"/>
      <c r="G141" s="631"/>
      <c r="H141" s="631"/>
      <c r="I141" s="224"/>
      <c r="J141" s="224"/>
    </row>
    <row r="142" spans="1:10" hidden="1">
      <c r="A142" s="68" t="s">
        <v>449</v>
      </c>
      <c r="E142" s="224"/>
      <c r="F142" s="224"/>
      <c r="G142" s="224"/>
      <c r="H142" s="224"/>
      <c r="I142" s="224"/>
      <c r="J142" s="224"/>
    </row>
    <row r="143" spans="1:10" hidden="1">
      <c r="A143" t="s">
        <v>524</v>
      </c>
      <c r="B143" s="21">
        <f>(B126*100)</f>
        <v>0</v>
      </c>
      <c r="C143" s="21">
        <f t="shared" ref="B143:C145" si="16">(C126*100)</f>
        <v>0</v>
      </c>
      <c r="D143" s="21">
        <f t="shared" ref="D143:H145" si="17">(D126*100)</f>
        <v>0</v>
      </c>
      <c r="E143" s="224">
        <f t="shared" si="17"/>
        <v>0</v>
      </c>
      <c r="F143" s="224">
        <f t="shared" si="17"/>
        <v>0</v>
      </c>
      <c r="G143" s="224">
        <f t="shared" si="17"/>
        <v>0</v>
      </c>
      <c r="H143" s="224">
        <f t="shared" si="17"/>
        <v>0</v>
      </c>
      <c r="I143" s="224"/>
      <c r="J143" s="224"/>
    </row>
    <row r="144" spans="1:10" hidden="1">
      <c r="A144" t="s">
        <v>525</v>
      </c>
      <c r="B144" s="21">
        <f t="shared" si="16"/>
        <v>0</v>
      </c>
      <c r="C144" s="21">
        <f t="shared" si="16"/>
        <v>0</v>
      </c>
      <c r="D144" s="21">
        <f t="shared" si="17"/>
        <v>0</v>
      </c>
      <c r="E144" s="224">
        <f t="shared" si="17"/>
        <v>0</v>
      </c>
      <c r="F144" s="224">
        <f t="shared" si="17"/>
        <v>0</v>
      </c>
      <c r="G144" s="224">
        <f t="shared" si="17"/>
        <v>0</v>
      </c>
      <c r="H144" s="224">
        <f t="shared" si="17"/>
        <v>0</v>
      </c>
      <c r="I144" s="224"/>
      <c r="J144" s="224"/>
    </row>
    <row r="145" spans="1:10" hidden="1">
      <c r="A145" t="s">
        <v>526</v>
      </c>
      <c r="B145" s="21">
        <f t="shared" si="16"/>
        <v>0</v>
      </c>
      <c r="C145" s="21">
        <f t="shared" si="16"/>
        <v>0</v>
      </c>
      <c r="D145" s="21">
        <f t="shared" si="17"/>
        <v>0</v>
      </c>
      <c r="E145" s="224">
        <f t="shared" si="17"/>
        <v>0</v>
      </c>
      <c r="F145" s="224">
        <f t="shared" si="17"/>
        <v>0</v>
      </c>
      <c r="G145" s="224">
        <f t="shared" si="17"/>
        <v>0</v>
      </c>
      <c r="H145" s="224">
        <f t="shared" si="17"/>
        <v>0</v>
      </c>
      <c r="I145" s="224"/>
      <c r="J145" s="224"/>
    </row>
    <row r="146" spans="1:10" hidden="1">
      <c r="E146" s="224"/>
      <c r="F146" s="224"/>
      <c r="G146" s="224"/>
      <c r="H146" s="224"/>
      <c r="I146" s="224"/>
      <c r="J146" s="224"/>
    </row>
    <row r="147" spans="1:10">
      <c r="B147" s="21"/>
      <c r="C147" s="21"/>
      <c r="E147" s="224"/>
      <c r="F147" s="224"/>
      <c r="G147" s="224"/>
      <c r="H147" s="224"/>
      <c r="I147" s="224"/>
      <c r="J147" s="224"/>
    </row>
    <row r="148" spans="1:10">
      <c r="B148" s="21"/>
      <c r="C148" s="21"/>
      <c r="E148" s="224"/>
      <c r="F148" s="224"/>
      <c r="G148" s="224"/>
      <c r="H148" s="224"/>
      <c r="I148" s="224"/>
      <c r="J148" s="224"/>
    </row>
    <row r="149" spans="1:10" ht="18.75">
      <c r="A149" s="1178" t="s">
        <v>2015</v>
      </c>
      <c r="B149" s="1179"/>
      <c r="C149" s="1179"/>
      <c r="D149" s="1179"/>
      <c r="E149" s="1179"/>
      <c r="F149" s="1179"/>
      <c r="G149" s="1179"/>
      <c r="H149" s="1180"/>
    </row>
    <row r="150" spans="1:10">
      <c r="A150" s="1181" t="s">
        <v>0</v>
      </c>
      <c r="B150" s="641"/>
      <c r="C150" s="641"/>
      <c r="D150" s="228">
        <v>0.8</v>
      </c>
      <c r="E150" s="228">
        <f t="shared" ref="E150:J150" si="18">+D150+5%</f>
        <v>0.85000000000000009</v>
      </c>
      <c r="F150" s="228">
        <f t="shared" si="18"/>
        <v>0.90000000000000013</v>
      </c>
      <c r="G150" s="228">
        <f t="shared" si="18"/>
        <v>0.95000000000000018</v>
      </c>
      <c r="H150" s="228">
        <f t="shared" si="18"/>
        <v>1.0000000000000002</v>
      </c>
      <c r="I150" s="228">
        <f t="shared" si="18"/>
        <v>1.0500000000000003</v>
      </c>
      <c r="J150" s="228">
        <f t="shared" si="18"/>
        <v>1.1000000000000003</v>
      </c>
    </row>
    <row r="151" spans="1:10">
      <c r="A151" s="1182"/>
      <c r="B151" s="642"/>
      <c r="C151" s="642"/>
      <c r="D151" s="222" t="s">
        <v>2</v>
      </c>
      <c r="E151" s="222" t="s">
        <v>3</v>
      </c>
      <c r="F151" s="222" t="s">
        <v>4</v>
      </c>
      <c r="G151" s="222" t="s">
        <v>5</v>
      </c>
      <c r="H151" s="222" t="s">
        <v>6</v>
      </c>
      <c r="I151" s="222" t="s">
        <v>170</v>
      </c>
      <c r="J151" s="222" t="s">
        <v>169</v>
      </c>
    </row>
    <row r="152" spans="1:10">
      <c r="A152" s="9" t="str">
        <f>+'11.F&amp;V Crop Production details'!A78</f>
        <v>Exotic Vegitables</v>
      </c>
      <c r="B152" s="9"/>
      <c r="C152" s="9"/>
      <c r="D152" s="9">
        <f>+'11.F&amp;V Crop Production details'!B78</f>
        <v>0</v>
      </c>
      <c r="E152" s="9">
        <f>+'11.F&amp;V Crop Production details'!C78</f>
        <v>0</v>
      </c>
      <c r="F152" s="9">
        <f>+'11.F&amp;V Crop Production details'!D78</f>
        <v>0</v>
      </c>
      <c r="G152" s="9">
        <f>+'11.F&amp;V Crop Production details'!E78</f>
        <v>0</v>
      </c>
      <c r="H152" s="9">
        <f>+'11.F&amp;V Crop Production details'!F78</f>
        <v>0</v>
      </c>
      <c r="I152" s="9">
        <f>+'11.F&amp;V Crop Production details'!G78</f>
        <v>0</v>
      </c>
      <c r="J152" s="9">
        <f>+'11.F&amp;V Crop Production details'!H78</f>
        <v>0</v>
      </c>
    </row>
    <row r="153" spans="1:10">
      <c r="A153" s="9" t="str">
        <f>+'11.F&amp;V Crop Production details'!A79</f>
        <v>Tomato</v>
      </c>
      <c r="B153" s="9"/>
      <c r="C153" s="9"/>
      <c r="D153" s="9">
        <f>+'11.F&amp;V Crop Production details'!B79</f>
        <v>0</v>
      </c>
      <c r="E153" s="9">
        <f>+'11.F&amp;V Crop Production details'!C79</f>
        <v>0</v>
      </c>
      <c r="F153" s="9">
        <f>+'11.F&amp;V Crop Production details'!D79</f>
        <v>0</v>
      </c>
      <c r="G153" s="9">
        <f>+'11.F&amp;V Crop Production details'!E79</f>
        <v>0</v>
      </c>
      <c r="H153" s="9">
        <f>+'11.F&amp;V Crop Production details'!F79</f>
        <v>0</v>
      </c>
      <c r="I153" s="9">
        <f>+'11.F&amp;V Crop Production details'!G79</f>
        <v>0</v>
      </c>
      <c r="J153" s="9">
        <f>+'11.F&amp;V Crop Production details'!H79</f>
        <v>0</v>
      </c>
    </row>
    <row r="154" spans="1:10">
      <c r="A154" s="9" t="str">
        <f>+'11.F&amp;V Crop Production details'!A80</f>
        <v>Okra</v>
      </c>
      <c r="B154" s="9"/>
      <c r="C154" s="9"/>
      <c r="D154" s="9">
        <f>+'11.F&amp;V Crop Production details'!B80</f>
        <v>0</v>
      </c>
      <c r="E154" s="9">
        <f>+'11.F&amp;V Crop Production details'!C80</f>
        <v>0</v>
      </c>
      <c r="F154" s="9">
        <f>+'11.F&amp;V Crop Production details'!D80</f>
        <v>0</v>
      </c>
      <c r="G154" s="9">
        <f>+'11.F&amp;V Crop Production details'!E80</f>
        <v>0</v>
      </c>
      <c r="H154" s="9">
        <f>+'11.F&amp;V Crop Production details'!F80</f>
        <v>0</v>
      </c>
      <c r="I154" s="9">
        <f>+'11.F&amp;V Crop Production details'!G80</f>
        <v>0</v>
      </c>
      <c r="J154" s="9">
        <f>+'11.F&amp;V Crop Production details'!H80</f>
        <v>0</v>
      </c>
    </row>
    <row r="155" spans="1:10">
      <c r="A155" s="9" t="str">
        <f>+'11.F&amp;V Crop Production details'!A81</f>
        <v>Chilli</v>
      </c>
      <c r="B155" s="9"/>
      <c r="C155" s="9"/>
      <c r="D155" s="9">
        <f>+'11.F&amp;V Crop Production details'!B81</f>
        <v>0</v>
      </c>
      <c r="E155" s="9">
        <f>+'11.F&amp;V Crop Production details'!C81</f>
        <v>0</v>
      </c>
      <c r="F155" s="9">
        <f>+'11.F&amp;V Crop Production details'!D81</f>
        <v>0</v>
      </c>
      <c r="G155" s="9">
        <f>+'11.F&amp;V Crop Production details'!E81</f>
        <v>0</v>
      </c>
      <c r="H155" s="9">
        <f>+'11.F&amp;V Crop Production details'!F81</f>
        <v>0</v>
      </c>
      <c r="I155" s="9">
        <f>+'11.F&amp;V Crop Production details'!G81</f>
        <v>0</v>
      </c>
      <c r="J155" s="9">
        <f>+'11.F&amp;V Crop Production details'!H81</f>
        <v>0</v>
      </c>
    </row>
    <row r="156" spans="1:10">
      <c r="A156" s="9" t="str">
        <f>+'11.F&amp;V Crop Production details'!A82</f>
        <v>Potato</v>
      </c>
      <c r="B156" s="9"/>
      <c r="C156" s="9"/>
      <c r="D156" s="9">
        <f>+'11.F&amp;V Crop Production details'!B82</f>
        <v>0</v>
      </c>
      <c r="E156" s="9">
        <f>+'11.F&amp;V Crop Production details'!C82</f>
        <v>0</v>
      </c>
      <c r="F156" s="9">
        <f>+'11.F&amp;V Crop Production details'!D82</f>
        <v>0</v>
      </c>
      <c r="G156" s="9">
        <f>+'11.F&amp;V Crop Production details'!E82</f>
        <v>0</v>
      </c>
      <c r="H156" s="9">
        <f>+'11.F&amp;V Crop Production details'!F82</f>
        <v>0</v>
      </c>
      <c r="I156" s="9">
        <f>+'11.F&amp;V Crop Production details'!G82</f>
        <v>0</v>
      </c>
      <c r="J156" s="9">
        <f>+'11.F&amp;V Crop Production details'!H82</f>
        <v>0</v>
      </c>
    </row>
    <row r="157" spans="1:10">
      <c r="A157" s="9" t="str">
        <f>+'11.F&amp;V Crop Production details'!A83</f>
        <v>Cabbage</v>
      </c>
      <c r="B157" s="9"/>
      <c r="C157" s="9"/>
      <c r="D157" s="9">
        <f>+'11.F&amp;V Crop Production details'!B83</f>
        <v>0</v>
      </c>
      <c r="E157" s="9">
        <f>+'11.F&amp;V Crop Production details'!C83</f>
        <v>0</v>
      </c>
      <c r="F157" s="9">
        <f>+'11.F&amp;V Crop Production details'!D83</f>
        <v>0</v>
      </c>
      <c r="G157" s="9">
        <f>+'11.F&amp;V Crop Production details'!E83</f>
        <v>0</v>
      </c>
      <c r="H157" s="9">
        <f>+'11.F&amp;V Crop Production details'!F83</f>
        <v>0</v>
      </c>
      <c r="I157" s="9">
        <f>+'11.F&amp;V Crop Production details'!G83</f>
        <v>0</v>
      </c>
      <c r="J157" s="9">
        <f>+'11.F&amp;V Crop Production details'!H83</f>
        <v>0</v>
      </c>
    </row>
    <row r="158" spans="1:10">
      <c r="A158" s="9" t="str">
        <f>+'11.F&amp;V Crop Production details'!A84</f>
        <v>Coliflower</v>
      </c>
      <c r="B158" s="9"/>
      <c r="C158" s="9"/>
      <c r="D158" s="9">
        <f>+'11.F&amp;V Crop Production details'!B84</f>
        <v>0</v>
      </c>
      <c r="E158" s="9">
        <f>+'11.F&amp;V Crop Production details'!C84</f>
        <v>0</v>
      </c>
      <c r="F158" s="9">
        <f>+'11.F&amp;V Crop Production details'!D84</f>
        <v>0</v>
      </c>
      <c r="G158" s="9">
        <f>+'11.F&amp;V Crop Production details'!E84</f>
        <v>0</v>
      </c>
      <c r="H158" s="9">
        <f>+'11.F&amp;V Crop Production details'!F84</f>
        <v>0</v>
      </c>
      <c r="I158" s="9">
        <f>+'11.F&amp;V Crop Production details'!G84</f>
        <v>0</v>
      </c>
      <c r="J158" s="9">
        <f>+'11.F&amp;V Crop Production details'!H84</f>
        <v>0</v>
      </c>
    </row>
    <row r="159" spans="1:10">
      <c r="A159" s="9" t="str">
        <f>+'11.F&amp;V Crop Production details'!A85</f>
        <v>Bitter Gurd</v>
      </c>
      <c r="B159" s="9"/>
      <c r="C159" s="9"/>
      <c r="D159" s="9">
        <f>+'11.F&amp;V Crop Production details'!B85</f>
        <v>0</v>
      </c>
      <c r="E159" s="9">
        <f>+'11.F&amp;V Crop Production details'!C85</f>
        <v>0</v>
      </c>
      <c r="F159" s="9">
        <f>+'11.F&amp;V Crop Production details'!D85</f>
        <v>0</v>
      </c>
      <c r="G159" s="9">
        <f>+'11.F&amp;V Crop Production details'!E85</f>
        <v>0</v>
      </c>
      <c r="H159" s="9">
        <f>+'11.F&amp;V Crop Production details'!F85</f>
        <v>0</v>
      </c>
      <c r="I159" s="9">
        <f>+'11.F&amp;V Crop Production details'!G85</f>
        <v>0</v>
      </c>
      <c r="J159" s="9">
        <f>+'11.F&amp;V Crop Production details'!H85</f>
        <v>0</v>
      </c>
    </row>
    <row r="160" spans="1:10">
      <c r="A160" s="9">
        <f>+'11.F&amp;V Crop Production details'!A86</f>
        <v>0</v>
      </c>
      <c r="B160" s="9"/>
      <c r="C160" s="9"/>
      <c r="D160" s="9">
        <f>+'11.F&amp;V Crop Production details'!B86</f>
        <v>0</v>
      </c>
      <c r="E160" s="9">
        <f>+'11.F&amp;V Crop Production details'!C86</f>
        <v>0</v>
      </c>
      <c r="F160" s="9">
        <f>+'11.F&amp;V Crop Production details'!D86</f>
        <v>0</v>
      </c>
      <c r="G160" s="9">
        <f>+'11.F&amp;V Crop Production details'!E86</f>
        <v>0</v>
      </c>
      <c r="H160" s="9">
        <f>+'11.F&amp;V Crop Production details'!F86</f>
        <v>0</v>
      </c>
      <c r="I160" s="9">
        <f>+'11.F&amp;V Crop Production details'!G86</f>
        <v>0</v>
      </c>
      <c r="J160" s="9">
        <f>+'11.F&amp;V Crop Production details'!H86</f>
        <v>0</v>
      </c>
    </row>
    <row r="161" spans="1:10">
      <c r="A161" s="9" t="str">
        <f>+'11.F&amp;V Crop Production details'!A87</f>
        <v>Exotic Vegitables</v>
      </c>
      <c r="B161" s="9"/>
      <c r="C161" s="9"/>
      <c r="D161" s="9">
        <f>+'11.F&amp;V Crop Production details'!B87</f>
        <v>0</v>
      </c>
      <c r="E161" s="9">
        <f>+'11.F&amp;V Crop Production details'!C87</f>
        <v>0</v>
      </c>
      <c r="F161" s="9">
        <f>+'11.F&amp;V Crop Production details'!D87</f>
        <v>0</v>
      </c>
      <c r="G161" s="9">
        <f>+'11.F&amp;V Crop Production details'!E87</f>
        <v>0</v>
      </c>
      <c r="H161" s="9">
        <f>+'11.F&amp;V Crop Production details'!F87</f>
        <v>0</v>
      </c>
      <c r="I161" s="9">
        <f>+'11.F&amp;V Crop Production details'!G87</f>
        <v>0</v>
      </c>
      <c r="J161" s="9">
        <f>+'11.F&amp;V Crop Production details'!H87</f>
        <v>0</v>
      </c>
    </row>
    <row r="162" spans="1:10">
      <c r="A162" s="9" t="str">
        <f>+'11.F&amp;V Crop Production details'!A88</f>
        <v>Tomato</v>
      </c>
      <c r="B162" s="9"/>
      <c r="C162" s="9"/>
      <c r="D162" s="9">
        <f>+'11.F&amp;V Crop Production details'!B88</f>
        <v>0</v>
      </c>
      <c r="E162" s="9">
        <f>+'11.F&amp;V Crop Production details'!C88</f>
        <v>0</v>
      </c>
      <c r="F162" s="9">
        <f>+'11.F&amp;V Crop Production details'!D88</f>
        <v>0</v>
      </c>
      <c r="G162" s="9">
        <f>+'11.F&amp;V Crop Production details'!E88</f>
        <v>0</v>
      </c>
      <c r="H162" s="9">
        <f>+'11.F&amp;V Crop Production details'!F88</f>
        <v>0</v>
      </c>
      <c r="I162" s="9">
        <f>+'11.F&amp;V Crop Production details'!G88</f>
        <v>0</v>
      </c>
      <c r="J162" s="9">
        <f>+'11.F&amp;V Crop Production details'!H88</f>
        <v>0</v>
      </c>
    </row>
    <row r="163" spans="1:10">
      <c r="A163" s="9" t="str">
        <f>+'11.F&amp;V Crop Production details'!A89</f>
        <v>Okra</v>
      </c>
      <c r="B163" s="9"/>
      <c r="C163" s="9"/>
      <c r="D163" s="9">
        <f>+'11.F&amp;V Crop Production details'!B89</f>
        <v>0</v>
      </c>
      <c r="E163" s="9">
        <f>+'11.F&amp;V Crop Production details'!C89</f>
        <v>0</v>
      </c>
      <c r="F163" s="9">
        <f>+'11.F&amp;V Crop Production details'!D89</f>
        <v>0</v>
      </c>
      <c r="G163" s="9">
        <f>+'11.F&amp;V Crop Production details'!E89</f>
        <v>0</v>
      </c>
      <c r="H163" s="9">
        <f>+'11.F&amp;V Crop Production details'!F89</f>
        <v>0</v>
      </c>
      <c r="I163" s="9">
        <f>+'11.F&amp;V Crop Production details'!G89</f>
        <v>0</v>
      </c>
      <c r="J163" s="9">
        <f>+'11.F&amp;V Crop Production details'!H89</f>
        <v>0</v>
      </c>
    </row>
    <row r="164" spans="1:10">
      <c r="A164" s="9" t="str">
        <f>+'11.F&amp;V Crop Production details'!A90</f>
        <v>Chilli</v>
      </c>
      <c r="B164" s="9"/>
      <c r="C164" s="9"/>
      <c r="D164" s="9">
        <f>+'11.F&amp;V Crop Production details'!B90</f>
        <v>0</v>
      </c>
      <c r="E164" s="9">
        <f>+'11.F&amp;V Crop Production details'!C90</f>
        <v>0</v>
      </c>
      <c r="F164" s="9">
        <f>+'11.F&amp;V Crop Production details'!D90</f>
        <v>0</v>
      </c>
      <c r="G164" s="9">
        <f>+'11.F&amp;V Crop Production details'!E90</f>
        <v>0</v>
      </c>
      <c r="H164" s="9">
        <f>+'11.F&amp;V Crop Production details'!F90</f>
        <v>0</v>
      </c>
      <c r="I164" s="9">
        <f>+'11.F&amp;V Crop Production details'!G90</f>
        <v>0</v>
      </c>
      <c r="J164" s="9">
        <f>+'11.F&amp;V Crop Production details'!H90</f>
        <v>0</v>
      </c>
    </row>
    <row r="165" spans="1:10">
      <c r="A165" s="9" t="str">
        <f>+'11.F&amp;V Crop Production details'!A91</f>
        <v>Brinjal</v>
      </c>
      <c r="B165" s="9"/>
      <c r="C165" s="9"/>
      <c r="D165" s="9">
        <f>+'11.F&amp;V Crop Production details'!B91</f>
        <v>0</v>
      </c>
      <c r="E165" s="9">
        <f>+'11.F&amp;V Crop Production details'!C91</f>
        <v>0</v>
      </c>
      <c r="F165" s="9">
        <f>+'11.F&amp;V Crop Production details'!D91</f>
        <v>0</v>
      </c>
      <c r="G165" s="9">
        <f>+'11.F&amp;V Crop Production details'!E91</f>
        <v>0</v>
      </c>
      <c r="H165" s="9">
        <f>+'11.F&amp;V Crop Production details'!F91</f>
        <v>0</v>
      </c>
      <c r="I165" s="9">
        <f>+'11.F&amp;V Crop Production details'!G91</f>
        <v>0</v>
      </c>
      <c r="J165" s="9">
        <f>+'11.F&amp;V Crop Production details'!H91</f>
        <v>0</v>
      </c>
    </row>
    <row r="166" spans="1:10">
      <c r="A166" s="9" t="str">
        <f>+'11.F&amp;V Crop Production details'!A92</f>
        <v>Ginger</v>
      </c>
      <c r="B166" s="9"/>
      <c r="C166" s="9"/>
      <c r="D166" s="9">
        <f>+'11.F&amp;V Crop Production details'!B92</f>
        <v>0</v>
      </c>
      <c r="E166" s="9">
        <f>+'11.F&amp;V Crop Production details'!C92</f>
        <v>0</v>
      </c>
      <c r="F166" s="9">
        <f>+'11.F&amp;V Crop Production details'!D92</f>
        <v>0</v>
      </c>
      <c r="G166" s="9">
        <f>+'11.F&amp;V Crop Production details'!E92</f>
        <v>0</v>
      </c>
      <c r="H166" s="9">
        <f>+'11.F&amp;V Crop Production details'!F92</f>
        <v>0</v>
      </c>
      <c r="I166" s="9">
        <f>+'11.F&amp;V Crop Production details'!G92</f>
        <v>0</v>
      </c>
      <c r="J166" s="9">
        <f>+'11.F&amp;V Crop Production details'!H92</f>
        <v>0</v>
      </c>
    </row>
    <row r="167" spans="1:10">
      <c r="A167" s="9">
        <f>+'11.F&amp;V Crop Production details'!A93</f>
        <v>0</v>
      </c>
      <c r="B167" s="9"/>
      <c r="C167" s="9"/>
      <c r="D167" s="9">
        <f>+'11.F&amp;V Crop Production details'!B93</f>
        <v>0</v>
      </c>
      <c r="E167" s="9">
        <f>+'11.F&amp;V Crop Production details'!C93</f>
        <v>0</v>
      </c>
      <c r="F167" s="9">
        <f>+'11.F&amp;V Crop Production details'!D93</f>
        <v>0</v>
      </c>
      <c r="G167" s="9">
        <f>+'11.F&amp;V Crop Production details'!E93</f>
        <v>0</v>
      </c>
      <c r="H167" s="9">
        <f>+'11.F&amp;V Crop Production details'!F93</f>
        <v>0</v>
      </c>
      <c r="I167" s="9">
        <f>+'11.F&amp;V Crop Production details'!G93</f>
        <v>0</v>
      </c>
      <c r="J167" s="9">
        <f>+'11.F&amp;V Crop Production details'!H93</f>
        <v>0</v>
      </c>
    </row>
    <row r="168" spans="1:10">
      <c r="A168" s="9">
        <f>+'11.F&amp;V Crop Production details'!A94</f>
        <v>0</v>
      </c>
      <c r="B168" s="9"/>
      <c r="C168" s="9"/>
      <c r="D168" s="9">
        <f>+'11.F&amp;V Crop Production details'!B94</f>
        <v>0</v>
      </c>
      <c r="E168" s="9">
        <f>+'11.F&amp;V Crop Production details'!C94</f>
        <v>0</v>
      </c>
      <c r="F168" s="9">
        <f>+'11.F&amp;V Crop Production details'!D94</f>
        <v>0</v>
      </c>
      <c r="G168" s="9">
        <f>+'11.F&amp;V Crop Production details'!E94</f>
        <v>0</v>
      </c>
      <c r="H168" s="9">
        <f>+'11.F&amp;V Crop Production details'!F94</f>
        <v>0</v>
      </c>
      <c r="I168" s="9">
        <f>+'11.F&amp;V Crop Production details'!G94</f>
        <v>0</v>
      </c>
      <c r="J168" s="9">
        <f>+'11.F&amp;V Crop Production details'!H94</f>
        <v>0</v>
      </c>
    </row>
    <row r="169" spans="1:10">
      <c r="A169" s="9" t="str">
        <f>+'11.F&amp;V Crop Production details'!A95</f>
        <v>Spinach</v>
      </c>
      <c r="B169" s="9"/>
      <c r="C169" s="9"/>
      <c r="D169" s="9">
        <f>+'11.F&amp;V Crop Production details'!B95</f>
        <v>0</v>
      </c>
      <c r="E169" s="9">
        <f>+'11.F&amp;V Crop Production details'!C95</f>
        <v>0</v>
      </c>
      <c r="F169" s="9">
        <f>+'11.F&amp;V Crop Production details'!D95</f>
        <v>0</v>
      </c>
      <c r="G169" s="9">
        <f>+'11.F&amp;V Crop Production details'!E95</f>
        <v>0</v>
      </c>
      <c r="H169" s="9">
        <f>+'11.F&amp;V Crop Production details'!F95</f>
        <v>0</v>
      </c>
      <c r="I169" s="9">
        <f>+'11.F&amp;V Crop Production details'!G95</f>
        <v>0</v>
      </c>
      <c r="J169" s="9">
        <f>+'11.F&amp;V Crop Production details'!H95</f>
        <v>0</v>
      </c>
    </row>
    <row r="170" spans="1:10">
      <c r="A170" s="9" t="str">
        <f>+'11.F&amp;V Crop Production details'!A96</f>
        <v>Fenugreek</v>
      </c>
      <c r="B170" s="9"/>
      <c r="C170" s="9"/>
      <c r="D170" s="9">
        <f>+'11.F&amp;V Crop Production details'!B96</f>
        <v>0</v>
      </c>
      <c r="E170" s="9">
        <f>+'11.F&amp;V Crop Production details'!C96</f>
        <v>0</v>
      </c>
      <c r="F170" s="9">
        <f>+'11.F&amp;V Crop Production details'!D96</f>
        <v>0</v>
      </c>
      <c r="G170" s="9">
        <f>+'11.F&amp;V Crop Production details'!E96</f>
        <v>0</v>
      </c>
      <c r="H170" s="9">
        <f>+'11.F&amp;V Crop Production details'!F96</f>
        <v>0</v>
      </c>
      <c r="I170" s="9">
        <f>+'11.F&amp;V Crop Production details'!G96</f>
        <v>0</v>
      </c>
      <c r="J170" s="9">
        <f>+'11.F&amp;V Crop Production details'!H96</f>
        <v>0</v>
      </c>
    </row>
    <row r="171" spans="1:10">
      <c r="A171" s="9" t="str">
        <f>+'11.F&amp;V Crop Production details'!A97</f>
        <v>coriander</v>
      </c>
      <c r="B171" s="9"/>
      <c r="C171" s="9"/>
      <c r="D171" s="9">
        <f>+'11.F&amp;V Crop Production details'!B97</f>
        <v>0</v>
      </c>
      <c r="E171" s="9">
        <f>+'11.F&amp;V Crop Production details'!C97</f>
        <v>0</v>
      </c>
      <c r="F171" s="9">
        <f>+'11.F&amp;V Crop Production details'!D97</f>
        <v>0</v>
      </c>
      <c r="G171" s="9">
        <f>+'11.F&amp;V Crop Production details'!E97</f>
        <v>0</v>
      </c>
      <c r="H171" s="9">
        <f>+'11.F&amp;V Crop Production details'!F97</f>
        <v>0</v>
      </c>
      <c r="I171" s="9">
        <f>+'11.F&amp;V Crop Production details'!G97</f>
        <v>0</v>
      </c>
      <c r="J171" s="9">
        <f>+'11.F&amp;V Crop Production details'!H97</f>
        <v>0</v>
      </c>
    </row>
    <row r="172" spans="1:10">
      <c r="A172" s="9" t="str">
        <f>+'11.F&amp;V Crop Production details'!A98</f>
        <v>Shepu</v>
      </c>
      <c r="B172" s="9"/>
      <c r="C172" s="9"/>
      <c r="D172" s="9">
        <f>+'11.F&amp;V Crop Production details'!B98</f>
        <v>0</v>
      </c>
      <c r="E172" s="9">
        <f>+'11.F&amp;V Crop Production details'!C98</f>
        <v>0</v>
      </c>
      <c r="F172" s="9">
        <f>+'11.F&amp;V Crop Production details'!D98</f>
        <v>0</v>
      </c>
      <c r="G172" s="9">
        <f>+'11.F&amp;V Crop Production details'!E98</f>
        <v>0</v>
      </c>
      <c r="H172" s="9">
        <f>+'11.F&amp;V Crop Production details'!F98</f>
        <v>0</v>
      </c>
      <c r="I172" s="9">
        <f>+'11.F&amp;V Crop Production details'!G98</f>
        <v>0</v>
      </c>
      <c r="J172" s="9">
        <f>+'11.F&amp;V Crop Production details'!H98</f>
        <v>0</v>
      </c>
    </row>
    <row r="173" spans="1:10">
      <c r="A173" s="9">
        <f>+'11.F&amp;V Crop Production details'!A99</f>
        <v>0</v>
      </c>
      <c r="B173" s="9"/>
      <c r="C173" s="9"/>
      <c r="D173" s="9">
        <f>+'11.F&amp;V Crop Production details'!B99</f>
        <v>0</v>
      </c>
      <c r="E173" s="9">
        <f>+'11.F&amp;V Crop Production details'!C99</f>
        <v>0</v>
      </c>
      <c r="F173" s="9">
        <f>+'11.F&amp;V Crop Production details'!D99</f>
        <v>0</v>
      </c>
      <c r="G173" s="9">
        <f>+'11.F&amp;V Crop Production details'!E99</f>
        <v>0</v>
      </c>
      <c r="H173" s="9">
        <f>+'11.F&amp;V Crop Production details'!F99</f>
        <v>0</v>
      </c>
      <c r="I173" s="9">
        <f>+'11.F&amp;V Crop Production details'!G99</f>
        <v>0</v>
      </c>
      <c r="J173" s="9">
        <f>+'11.F&amp;V Crop Production details'!H99</f>
        <v>0</v>
      </c>
    </row>
    <row r="174" spans="1:10">
      <c r="A174" s="9" t="str">
        <f>+'11.F&amp;V Crop Production details'!A100</f>
        <v>Pomegranate</v>
      </c>
      <c r="B174" s="9"/>
      <c r="C174" s="9"/>
      <c r="D174" s="650">
        <f>+'11.F&amp;V Crop Production details'!B100</f>
        <v>0</v>
      </c>
      <c r="E174" s="650">
        <f>+'11.F&amp;V Crop Production details'!C100</f>
        <v>0</v>
      </c>
      <c r="F174" s="650">
        <f>+'11.F&amp;V Crop Production details'!D100</f>
        <v>0</v>
      </c>
      <c r="G174" s="650">
        <f>+'11.F&amp;V Crop Production details'!E100</f>
        <v>0</v>
      </c>
      <c r="H174" s="650">
        <f>+'11.F&amp;V Crop Production details'!F100</f>
        <v>0</v>
      </c>
      <c r="I174" s="650">
        <f>+'11.F&amp;V Crop Production details'!G100</f>
        <v>0</v>
      </c>
      <c r="J174" s="650">
        <f>+'11.F&amp;V Crop Production details'!H100</f>
        <v>0</v>
      </c>
    </row>
    <row r="175" spans="1:10">
      <c r="A175" s="9" t="str">
        <f>+'11.F&amp;V Crop Production details'!A101</f>
        <v>Banana</v>
      </c>
      <c r="B175" s="9"/>
      <c r="C175" s="9"/>
      <c r="D175" s="650">
        <f>+'11.F&amp;V Crop Production details'!B101</f>
        <v>0</v>
      </c>
      <c r="E175" s="650">
        <f>+'11.F&amp;V Crop Production details'!C101</f>
        <v>0</v>
      </c>
      <c r="F175" s="650">
        <f>+'11.F&amp;V Crop Production details'!D101</f>
        <v>0</v>
      </c>
      <c r="G175" s="650">
        <f>+'11.F&amp;V Crop Production details'!E101</f>
        <v>0</v>
      </c>
      <c r="H175" s="650">
        <f>+'11.F&amp;V Crop Production details'!F101</f>
        <v>0</v>
      </c>
      <c r="I175" s="650">
        <f>+'11.F&amp;V Crop Production details'!G101</f>
        <v>0</v>
      </c>
      <c r="J175" s="650">
        <f>+'11.F&amp;V Crop Production details'!H101</f>
        <v>0</v>
      </c>
    </row>
    <row r="176" spans="1:10">
      <c r="A176" s="9" t="str">
        <f>+'11.F&amp;V Crop Production details'!A102</f>
        <v>Graps</v>
      </c>
      <c r="B176" s="9"/>
      <c r="C176" s="9"/>
      <c r="D176" s="650">
        <f>+'11.F&amp;V Crop Production details'!B102</f>
        <v>0</v>
      </c>
      <c r="E176" s="650">
        <f>+'11.F&amp;V Crop Production details'!C102</f>
        <v>0</v>
      </c>
      <c r="F176" s="650">
        <f>+'11.F&amp;V Crop Production details'!D102</f>
        <v>0</v>
      </c>
      <c r="G176" s="650">
        <f>+'11.F&amp;V Crop Production details'!E102</f>
        <v>0</v>
      </c>
      <c r="H176" s="650">
        <f>+'11.F&amp;V Crop Production details'!F102</f>
        <v>0</v>
      </c>
      <c r="I176" s="650">
        <f>+'11.F&amp;V Crop Production details'!G102</f>
        <v>0</v>
      </c>
      <c r="J176" s="650">
        <f>+'11.F&amp;V Crop Production details'!H102</f>
        <v>0</v>
      </c>
    </row>
    <row r="177" spans="1:16">
      <c r="A177" s="9" t="str">
        <f>+'11.F&amp;V Crop Production details'!A103</f>
        <v>Mango</v>
      </c>
      <c r="B177" s="9"/>
      <c r="C177" s="9"/>
      <c r="D177" s="650">
        <f>+'11.F&amp;V Crop Production details'!B103</f>
        <v>0</v>
      </c>
      <c r="E177" s="650">
        <f>+'11.F&amp;V Crop Production details'!C103</f>
        <v>0</v>
      </c>
      <c r="F177" s="650">
        <f>+'11.F&amp;V Crop Production details'!D103</f>
        <v>0</v>
      </c>
      <c r="G177" s="650">
        <f>+'11.F&amp;V Crop Production details'!E103</f>
        <v>0</v>
      </c>
      <c r="H177" s="650">
        <f>+'11.F&amp;V Crop Production details'!F103</f>
        <v>0</v>
      </c>
      <c r="I177" s="650">
        <f>+'11.F&amp;V Crop Production details'!G103</f>
        <v>0</v>
      </c>
      <c r="J177" s="650">
        <f>+'11.F&amp;V Crop Production details'!H103</f>
        <v>0</v>
      </c>
    </row>
    <row r="178" spans="1:16">
      <c r="A178" s="9" t="str">
        <f>+'11.F&amp;V Crop Production details'!A104</f>
        <v>Citrus</v>
      </c>
      <c r="B178" s="9"/>
      <c r="C178" s="9"/>
      <c r="D178" s="650">
        <f>+'11.F&amp;V Crop Production details'!B104</f>
        <v>0</v>
      </c>
      <c r="E178" s="650">
        <f>+'11.F&amp;V Crop Production details'!C104</f>
        <v>0</v>
      </c>
      <c r="F178" s="650">
        <f>+'11.F&amp;V Crop Production details'!D104</f>
        <v>0</v>
      </c>
      <c r="G178" s="650">
        <f>+'11.F&amp;V Crop Production details'!E104</f>
        <v>0</v>
      </c>
      <c r="H178" s="650">
        <f>+'11.F&amp;V Crop Production details'!F104</f>
        <v>0</v>
      </c>
      <c r="I178" s="650">
        <f>+'11.F&amp;V Crop Production details'!G104</f>
        <v>0</v>
      </c>
      <c r="J178" s="650">
        <f>+'11.F&amp;V Crop Production details'!H104</f>
        <v>0</v>
      </c>
    </row>
    <row r="179" spans="1:16">
      <c r="D179" s="21"/>
      <c r="E179" s="21"/>
      <c r="G179" s="224"/>
      <c r="H179" s="224"/>
      <c r="I179" s="224"/>
      <c r="J179" s="224"/>
      <c r="K179" s="224"/>
      <c r="L179" s="224"/>
    </row>
    <row r="180" spans="1:16" hidden="1">
      <c r="B180" s="21"/>
      <c r="C180" s="21"/>
      <c r="E180" s="224"/>
      <c r="F180" s="224"/>
      <c r="G180" s="224"/>
      <c r="H180" s="224"/>
      <c r="I180" s="224"/>
      <c r="J180" s="224"/>
    </row>
    <row r="181" spans="1:16" hidden="1">
      <c r="A181" s="68" t="s">
        <v>1725</v>
      </c>
      <c r="B181" s="194">
        <v>1000</v>
      </c>
      <c r="C181" s="151" t="s">
        <v>301</v>
      </c>
      <c r="D181" s="151"/>
      <c r="E181" s="151"/>
      <c r="F181" s="151"/>
      <c r="G181" s="68"/>
      <c r="H181" s="68"/>
    </row>
    <row r="182" spans="1:16" hidden="1">
      <c r="A182" s="68" t="s">
        <v>1726</v>
      </c>
      <c r="B182" s="194">
        <v>250</v>
      </c>
      <c r="C182" s="151" t="s">
        <v>301</v>
      </c>
      <c r="D182" s="151"/>
      <c r="E182" s="151"/>
      <c r="F182" s="151"/>
      <c r="G182" s="68"/>
      <c r="H182" s="68"/>
    </row>
    <row r="183" spans="1:16" hidden="1">
      <c r="A183" s="68" t="s">
        <v>1727</v>
      </c>
      <c r="B183" s="194">
        <v>750</v>
      </c>
      <c r="C183" s="151" t="s">
        <v>301</v>
      </c>
      <c r="D183" s="151"/>
      <c r="E183" s="151"/>
      <c r="F183" s="151"/>
      <c r="G183" s="68"/>
      <c r="H183" s="68"/>
    </row>
    <row r="184" spans="1:16" hidden="1">
      <c r="A184" s="68" t="s">
        <v>1708</v>
      </c>
      <c r="B184" s="194">
        <v>30</v>
      </c>
      <c r="C184" s="151" t="s">
        <v>301</v>
      </c>
      <c r="D184" s="151"/>
      <c r="E184" s="151"/>
      <c r="F184" s="151"/>
      <c r="G184" s="68"/>
      <c r="H184" s="68"/>
    </row>
    <row r="185" spans="1:16" hidden="1">
      <c r="A185" s="68" t="s">
        <v>1709</v>
      </c>
      <c r="B185" s="194">
        <v>100</v>
      </c>
      <c r="C185" s="151" t="s">
        <v>301</v>
      </c>
      <c r="D185" s="151"/>
      <c r="E185" s="151"/>
      <c r="F185" s="151"/>
      <c r="G185" s="68"/>
      <c r="H185" s="68"/>
    </row>
    <row r="186" spans="1:16" ht="6" hidden="1" customHeight="1">
      <c r="A186" s="68"/>
      <c r="B186" s="152"/>
      <c r="C186" s="68"/>
      <c r="D186" s="68"/>
      <c r="E186" s="68"/>
      <c r="F186" s="68"/>
      <c r="G186" s="68"/>
      <c r="H186" s="68"/>
    </row>
    <row r="187" spans="1:16" hidden="1">
      <c r="A187" s="68" t="s">
        <v>303</v>
      </c>
      <c r="B187" s="153">
        <v>12</v>
      </c>
      <c r="C187" s="68"/>
      <c r="D187" s="153"/>
      <c r="E187" s="153"/>
      <c r="F187" s="68"/>
      <c r="G187" s="68"/>
      <c r="H187" s="68"/>
      <c r="L187">
        <v>1000</v>
      </c>
      <c r="M187">
        <f>+L187*1000</f>
        <v>1000000</v>
      </c>
      <c r="P187">
        <f>60*100</f>
        <v>6000</v>
      </c>
    </row>
    <row r="188" spans="1:16" ht="15" hidden="1" customHeight="1">
      <c r="A188" s="68"/>
      <c r="B188" s="84"/>
      <c r="C188" s="84"/>
      <c r="D188" s="84"/>
      <c r="E188" s="84"/>
      <c r="F188" s="84"/>
      <c r="G188" s="84"/>
      <c r="H188" s="84"/>
    </row>
    <row r="189" spans="1:16" hidden="1">
      <c r="A189" s="119" t="s">
        <v>127</v>
      </c>
      <c r="B189" s="91" t="s">
        <v>2</v>
      </c>
      <c r="C189" s="91" t="s">
        <v>3</v>
      </c>
      <c r="D189" s="91" t="s">
        <v>4</v>
      </c>
      <c r="E189" s="91" t="s">
        <v>5</v>
      </c>
      <c r="F189" s="91" t="s">
        <v>6</v>
      </c>
      <c r="G189" s="91" t="s">
        <v>170</v>
      </c>
      <c r="H189" s="91" t="s">
        <v>169</v>
      </c>
      <c r="L189">
        <f>900*1000</f>
        <v>900000</v>
      </c>
    </row>
    <row r="190" spans="1:16" hidden="1">
      <c r="A190" s="69" t="s">
        <v>304</v>
      </c>
      <c r="B190" s="204">
        <v>0.75</v>
      </c>
      <c r="C190" s="204">
        <f>B190+5%</f>
        <v>0.8</v>
      </c>
      <c r="D190" s="204">
        <f>C190+5%</f>
        <v>0.85000000000000009</v>
      </c>
      <c r="E190" s="204">
        <f>D190+5%</f>
        <v>0.90000000000000013</v>
      </c>
      <c r="F190" s="204">
        <f>E190+5%</f>
        <v>0.95000000000000018</v>
      </c>
      <c r="G190" s="204">
        <f>F190</f>
        <v>0.95000000000000018</v>
      </c>
      <c r="H190" s="204">
        <f>G190</f>
        <v>0.95000000000000018</v>
      </c>
      <c r="L190">
        <v>1</v>
      </c>
    </row>
    <row r="191" spans="1:16" hidden="1">
      <c r="A191" s="69" t="s">
        <v>326</v>
      </c>
      <c r="B191" s="155">
        <f>$B$183*B190*$B$187</f>
        <v>6750</v>
      </c>
      <c r="C191" s="155">
        <f t="shared" ref="C191:H191" si="19">$B$183*C190*$B$187</f>
        <v>7200</v>
      </c>
      <c r="D191" s="155">
        <f t="shared" si="19"/>
        <v>7650.0000000000018</v>
      </c>
      <c r="E191" s="155">
        <f t="shared" si="19"/>
        <v>8100.0000000000018</v>
      </c>
      <c r="F191" s="155">
        <f t="shared" si="19"/>
        <v>8550.0000000000018</v>
      </c>
      <c r="G191" s="155">
        <f t="shared" si="19"/>
        <v>8550.0000000000018</v>
      </c>
      <c r="H191" s="155">
        <f t="shared" si="19"/>
        <v>8550.0000000000018</v>
      </c>
      <c r="L191">
        <f>+L189*L190</f>
        <v>900000</v>
      </c>
    </row>
    <row r="192" spans="1:16" hidden="1">
      <c r="A192" s="69" t="s">
        <v>1710</v>
      </c>
      <c r="B192" s="9">
        <f t="shared" ref="B192:H192" si="20">+$B$184*300*B190</f>
        <v>6750</v>
      </c>
      <c r="C192" s="9">
        <f t="shared" si="20"/>
        <v>7200</v>
      </c>
      <c r="D192" s="9">
        <f t="shared" si="20"/>
        <v>7650.0000000000009</v>
      </c>
      <c r="E192" s="9">
        <f t="shared" si="20"/>
        <v>8100.0000000000009</v>
      </c>
      <c r="F192" s="9">
        <f t="shared" si="20"/>
        <v>8550.0000000000018</v>
      </c>
      <c r="G192" s="9">
        <f t="shared" si="20"/>
        <v>8550.0000000000018</v>
      </c>
      <c r="H192" s="9">
        <f t="shared" si="20"/>
        <v>8550.0000000000018</v>
      </c>
    </row>
    <row r="193" spans="1:16" hidden="1">
      <c r="A193" s="69" t="s">
        <v>1711</v>
      </c>
      <c r="B193" s="9">
        <f t="shared" ref="B193:H193" si="21">+$B$185*12*B190</f>
        <v>900</v>
      </c>
      <c r="C193" s="9">
        <f t="shared" si="21"/>
        <v>960</v>
      </c>
      <c r="D193" s="9">
        <f t="shared" si="21"/>
        <v>1020.0000000000001</v>
      </c>
      <c r="E193" s="9">
        <f t="shared" si="21"/>
        <v>1080.0000000000002</v>
      </c>
      <c r="F193" s="9">
        <f t="shared" si="21"/>
        <v>1140.0000000000002</v>
      </c>
      <c r="G193" s="9">
        <f t="shared" si="21"/>
        <v>1140.0000000000002</v>
      </c>
      <c r="H193" s="9">
        <f t="shared" si="21"/>
        <v>1140.0000000000002</v>
      </c>
      <c r="L193">
        <f>750*12</f>
        <v>9000</v>
      </c>
      <c r="O193">
        <f>5000/25</f>
        <v>200</v>
      </c>
      <c r="P193">
        <f>+O193*5</f>
        <v>1000</v>
      </c>
    </row>
    <row r="194" spans="1:16" hidden="1">
      <c r="B194" s="21"/>
      <c r="C194" s="21"/>
      <c r="E194" s="224"/>
      <c r="F194" s="224"/>
      <c r="G194" s="224"/>
      <c r="H194" s="224"/>
      <c r="I194" s="224"/>
      <c r="J194" s="224"/>
    </row>
    <row r="195" spans="1:16">
      <c r="B195" s="21"/>
      <c r="C195" s="21"/>
      <c r="D195" s="21"/>
    </row>
    <row r="196" spans="1:16" ht="18.75">
      <c r="A196" s="724" t="s">
        <v>2016</v>
      </c>
      <c r="B196" s="724"/>
      <c r="C196" s="724"/>
      <c r="D196" s="724"/>
      <c r="E196" s="724"/>
      <c r="F196" s="724"/>
      <c r="G196" s="724"/>
      <c r="H196" s="724"/>
      <c r="I196" s="724"/>
      <c r="J196" s="724"/>
    </row>
    <row r="197" spans="1:16">
      <c r="A197" s="11"/>
      <c r="B197" s="11"/>
      <c r="C197" s="11"/>
      <c r="D197" s="11"/>
      <c r="E197" s="11"/>
      <c r="F197" s="11"/>
      <c r="G197" s="11"/>
      <c r="H197" s="11"/>
    </row>
    <row r="198" spans="1:16">
      <c r="A198" s="156"/>
      <c r="B198" s="156"/>
      <c r="C198" s="156"/>
      <c r="D198" s="157">
        <v>1</v>
      </c>
      <c r="E198" s="158">
        <f t="shared" ref="E198:J198" si="22">(D198*5%)+D198</f>
        <v>1.05</v>
      </c>
      <c r="F198" s="158">
        <f t="shared" si="22"/>
        <v>1.1025</v>
      </c>
      <c r="G198" s="158">
        <f t="shared" si="22"/>
        <v>1.1576250000000001</v>
      </c>
      <c r="H198" s="158">
        <f t="shared" si="22"/>
        <v>1.2155062500000002</v>
      </c>
      <c r="I198" s="158">
        <f t="shared" si="22"/>
        <v>1.2762815625000004</v>
      </c>
      <c r="J198" s="158">
        <f t="shared" si="22"/>
        <v>1.3400956406250004</v>
      </c>
    </row>
    <row r="199" spans="1:16">
      <c r="A199" s="68"/>
      <c r="B199" s="68"/>
      <c r="C199" s="68"/>
      <c r="D199" s="68"/>
      <c r="E199" s="68"/>
      <c r="F199" s="68"/>
      <c r="G199" s="68"/>
      <c r="H199" s="68"/>
      <c r="I199" s="68"/>
      <c r="J199" s="68"/>
    </row>
    <row r="200" spans="1:16">
      <c r="A200" s="119" t="s">
        <v>0</v>
      </c>
      <c r="B200" s="119" t="s">
        <v>132</v>
      </c>
      <c r="C200" s="119" t="s">
        <v>153</v>
      </c>
      <c r="D200" s="91" t="s">
        <v>2</v>
      </c>
      <c r="E200" s="91" t="s">
        <v>3</v>
      </c>
      <c r="F200" s="91" t="s">
        <v>4</v>
      </c>
      <c r="G200" s="91" t="s">
        <v>5</v>
      </c>
      <c r="H200" s="91" t="s">
        <v>6</v>
      </c>
      <c r="I200" s="91" t="s">
        <v>170</v>
      </c>
      <c r="J200" s="91" t="s">
        <v>169</v>
      </c>
    </row>
    <row r="201" spans="1:16">
      <c r="A201" s="69"/>
      <c r="B201" s="69"/>
      <c r="C201" s="69"/>
      <c r="D201" s="69"/>
      <c r="E201" s="69"/>
      <c r="F201" s="69"/>
      <c r="G201" s="69"/>
      <c r="H201" s="69"/>
      <c r="I201" s="69"/>
      <c r="J201" s="69"/>
    </row>
    <row r="202" spans="1:16">
      <c r="A202" s="71" t="s">
        <v>126</v>
      </c>
      <c r="B202" s="71"/>
      <c r="C202" s="71"/>
      <c r="D202" s="86"/>
      <c r="E202" s="86"/>
      <c r="F202" s="86"/>
      <c r="G202" s="86"/>
      <c r="H202" s="86"/>
      <c r="I202" s="69"/>
      <c r="J202" s="69"/>
    </row>
    <row r="203" spans="1:16">
      <c r="A203" s="71" t="str">
        <f t="shared" ref="A203:A210" si="23">+A13</f>
        <v>Exotic Vegitables</v>
      </c>
      <c r="B203" s="69" t="s">
        <v>523</v>
      </c>
      <c r="C203" s="69">
        <f>+C243*115%</f>
        <v>2300</v>
      </c>
      <c r="D203" s="70">
        <f>(D13*(1-'5.Closing Stock &amp; W Capital'!$D$18)*$C203*D$198)</f>
        <v>0</v>
      </c>
      <c r="E203" s="70">
        <f>(((E13*(1-'5.Closing Stock &amp; W Capital'!$D$18))+(D13*'5.Closing Stock &amp; W Capital'!$D$18))*$C203*E$198)</f>
        <v>0</v>
      </c>
      <c r="F203" s="70">
        <f>(((F13*(1-'5.Closing Stock &amp; W Capital'!$D$18))+(E13*'5.Closing Stock &amp; W Capital'!$D$18))*$C203*F$198)</f>
        <v>0</v>
      </c>
      <c r="G203" s="70">
        <f>(((G13*(1-'5.Closing Stock &amp; W Capital'!$D$18))+(F13*'5.Closing Stock &amp; W Capital'!$D$18))*$C203*G$198)</f>
        <v>0</v>
      </c>
      <c r="H203" s="70">
        <f>(((H13*(1-'5.Closing Stock &amp; W Capital'!$D$18))+(G13*'5.Closing Stock &amp; W Capital'!$D$18))*$C203*H$198)</f>
        <v>0</v>
      </c>
      <c r="I203" s="70">
        <f>(((I13*(1-'5.Closing Stock &amp; W Capital'!$D$18))+(H13*'5.Closing Stock &amp; W Capital'!$D$18))*$C203*I$198)</f>
        <v>0</v>
      </c>
      <c r="J203" s="70">
        <f>(((J13*(1-'5.Closing Stock &amp; W Capital'!$D$18))+(I13*'5.Closing Stock &amp; W Capital'!$D$18))*$C203*J$198)</f>
        <v>0</v>
      </c>
      <c r="M203">
        <v>2500000</v>
      </c>
    </row>
    <row r="204" spans="1:16">
      <c r="A204" s="71" t="str">
        <f t="shared" si="23"/>
        <v>Tomato</v>
      </c>
      <c r="B204" s="69" t="s">
        <v>523</v>
      </c>
      <c r="C204" s="69">
        <f t="shared" ref="C204:C210" si="24">+C244*115%</f>
        <v>5750</v>
      </c>
      <c r="D204" s="70">
        <f>(D14*(1-'5.Closing Stock &amp; W Capital'!$D$18)*$C204*D$198)</f>
        <v>0</v>
      </c>
      <c r="E204" s="70">
        <f>(((E14*(1-'5.Closing Stock &amp; W Capital'!$D$18))+(D14*'5.Closing Stock &amp; W Capital'!$D$18))*$C204*E$198)</f>
        <v>0</v>
      </c>
      <c r="F204" s="70">
        <f>(((F14*(1-'5.Closing Stock &amp; W Capital'!$D$18))+(E14*'5.Closing Stock &amp; W Capital'!$D$18))*$C204*F$198)</f>
        <v>0</v>
      </c>
      <c r="G204" s="70">
        <f>(((G14*(1-'5.Closing Stock &amp; W Capital'!$D$18))+(F14*'5.Closing Stock &amp; W Capital'!$D$18))*$C204*G$198)</f>
        <v>0</v>
      </c>
      <c r="H204" s="70">
        <f>(((H14*(1-'5.Closing Stock &amp; W Capital'!$D$18))+(G14*'5.Closing Stock &amp; W Capital'!$D$18))*$C204*H$198)</f>
        <v>0</v>
      </c>
      <c r="I204" s="70">
        <f>(((I14*(1-'5.Closing Stock &amp; W Capital'!$D$18))+(H14*'5.Closing Stock &amp; W Capital'!$D$18))*$C204*I$198)</f>
        <v>0</v>
      </c>
      <c r="J204" s="70">
        <f>(((J14*(1-'5.Closing Stock &amp; W Capital'!$D$18))+(I14*'5.Closing Stock &amp; W Capital'!$D$18))*$C204*J$198)</f>
        <v>0</v>
      </c>
      <c r="M204">
        <f>+M203/20</f>
        <v>125000</v>
      </c>
    </row>
    <row r="205" spans="1:16">
      <c r="A205" s="71" t="str">
        <f t="shared" si="23"/>
        <v>Okra</v>
      </c>
      <c r="B205" s="69" t="s">
        <v>523</v>
      </c>
      <c r="C205" s="69">
        <f t="shared" si="24"/>
        <v>3449.9999999999995</v>
      </c>
      <c r="D205" s="70">
        <f>(D15*(1-'5.Closing Stock &amp; W Capital'!$D$18)*$C205*D$198)</f>
        <v>0</v>
      </c>
      <c r="E205" s="70">
        <f>(((E15*(1-'5.Closing Stock &amp; W Capital'!$D$18))+(D15*'5.Closing Stock &amp; W Capital'!$D$18))*$C205*E$198)</f>
        <v>0</v>
      </c>
      <c r="F205" s="70">
        <f>(((F15*(1-'5.Closing Stock &amp; W Capital'!$D$18))+(E15*'5.Closing Stock &amp; W Capital'!$D$18))*$C205*F$198)</f>
        <v>0</v>
      </c>
      <c r="G205" s="70">
        <f>(((G15*(1-'5.Closing Stock &amp; W Capital'!$D$18))+(F15*'5.Closing Stock &amp; W Capital'!$D$18))*$C205*G$198)</f>
        <v>0</v>
      </c>
      <c r="H205" s="70">
        <f>(((H15*(1-'5.Closing Stock &amp; W Capital'!$D$18))+(G15*'5.Closing Stock &amp; W Capital'!$D$18))*$C205*H$198)</f>
        <v>0</v>
      </c>
      <c r="I205" s="70">
        <f>(((I15*(1-'5.Closing Stock &amp; W Capital'!$D$18))+(H15*'5.Closing Stock &amp; W Capital'!$D$18))*$C205*I$198)</f>
        <v>0</v>
      </c>
      <c r="J205" s="70">
        <f>(((J15*(1-'5.Closing Stock &amp; W Capital'!$D$18))+(I15*'5.Closing Stock &amp; W Capital'!$D$18))*$C205*J$198)</f>
        <v>0</v>
      </c>
      <c r="M205">
        <f>+M204*100</f>
        <v>12500000</v>
      </c>
    </row>
    <row r="206" spans="1:16">
      <c r="A206" s="71" t="str">
        <f t="shared" si="23"/>
        <v>Chilli</v>
      </c>
      <c r="B206" s="69" t="s">
        <v>523</v>
      </c>
      <c r="C206" s="69">
        <f t="shared" si="24"/>
        <v>4600</v>
      </c>
      <c r="D206" s="70">
        <f>(D16*(1-'5.Closing Stock &amp; W Capital'!$D$18)*$C206*D$198)</f>
        <v>0</v>
      </c>
      <c r="E206" s="70">
        <f>(((E16*(1-'5.Closing Stock &amp; W Capital'!$D$18))+(D16*'5.Closing Stock &amp; W Capital'!$D$18))*$C206*E$198)</f>
        <v>0</v>
      </c>
      <c r="F206" s="70">
        <f>(((F16*(1-'5.Closing Stock &amp; W Capital'!$D$18))+(E16*'5.Closing Stock &amp; W Capital'!$D$18))*$C206*F$198)</f>
        <v>0</v>
      </c>
      <c r="G206" s="70">
        <f>(((G16*(1-'5.Closing Stock &amp; W Capital'!$D$18))+(F16*'5.Closing Stock &amp; W Capital'!$D$18))*$C206*G$198)</f>
        <v>0</v>
      </c>
      <c r="H206" s="70">
        <f>(((H16*(1-'5.Closing Stock &amp; W Capital'!$D$18))+(G16*'5.Closing Stock &amp; W Capital'!$D$18))*$C206*H$198)</f>
        <v>0</v>
      </c>
      <c r="I206" s="70">
        <f>(((I16*(1-'5.Closing Stock &amp; W Capital'!$D$18))+(H16*'5.Closing Stock &amp; W Capital'!$D$18))*$C206*I$198)</f>
        <v>0</v>
      </c>
      <c r="J206" s="70">
        <f>(((J16*(1-'5.Closing Stock &amp; W Capital'!$D$18))+(I16*'5.Closing Stock &amp; W Capital'!$D$18))*$C206*J$198)</f>
        <v>0</v>
      </c>
    </row>
    <row r="207" spans="1:16">
      <c r="A207" s="71" t="str">
        <f t="shared" si="23"/>
        <v>Potato</v>
      </c>
      <c r="B207" s="69" t="s">
        <v>523</v>
      </c>
      <c r="C207" s="69">
        <f t="shared" si="24"/>
        <v>2300</v>
      </c>
      <c r="D207" s="70">
        <f>(D17*(1-'5.Closing Stock &amp; W Capital'!$D$18)*$C207*D$198)</f>
        <v>0</v>
      </c>
      <c r="E207" s="70">
        <f>(((E17*(1-'5.Closing Stock &amp; W Capital'!$D$18))+(D17*'5.Closing Stock &amp; W Capital'!$D$18))*$C207*E$198)</f>
        <v>0</v>
      </c>
      <c r="F207" s="70">
        <f>(((F17*(1-'5.Closing Stock &amp; W Capital'!$D$18))+(E17*'5.Closing Stock &amp; W Capital'!$D$18))*$C207*F$198)</f>
        <v>0</v>
      </c>
      <c r="G207" s="70">
        <f>(((G17*(1-'5.Closing Stock &amp; W Capital'!$D$18))+(F17*'5.Closing Stock &amp; W Capital'!$D$18))*$C207*G$198)</f>
        <v>0</v>
      </c>
      <c r="H207" s="70">
        <f>(((H17*(1-'5.Closing Stock &amp; W Capital'!$D$18))+(G17*'5.Closing Stock &amp; W Capital'!$D$18))*$C207*H$198)</f>
        <v>0</v>
      </c>
      <c r="I207" s="70">
        <f>(((I17*(1-'5.Closing Stock &amp; W Capital'!$D$18))+(H17*'5.Closing Stock &amp; W Capital'!$D$18))*$C207*I$198)</f>
        <v>0</v>
      </c>
      <c r="J207" s="70">
        <f>(((J17*(1-'5.Closing Stock &amp; W Capital'!$D$18))+(I17*'5.Closing Stock &amp; W Capital'!$D$18))*$C207*J$198)</f>
        <v>0</v>
      </c>
    </row>
    <row r="208" spans="1:16">
      <c r="A208" s="71" t="str">
        <f t="shared" si="23"/>
        <v>Cabbage</v>
      </c>
      <c r="B208" s="69" t="s">
        <v>523</v>
      </c>
      <c r="C208" s="69">
        <f t="shared" si="24"/>
        <v>4024.9999999999995</v>
      </c>
      <c r="D208" s="70">
        <f>(D18*(1-'5.Closing Stock &amp; W Capital'!$D$18)*$C208*D$198)</f>
        <v>0</v>
      </c>
      <c r="E208" s="70">
        <f>(((E18*(1-'5.Closing Stock &amp; W Capital'!$D$18))+(D18*'5.Closing Stock &amp; W Capital'!$D$18))*$C208*E$198)</f>
        <v>0</v>
      </c>
      <c r="F208" s="70">
        <f>(((F18*(1-'5.Closing Stock &amp; W Capital'!$D$18))+(E18*'5.Closing Stock &amp; W Capital'!$D$18))*$C208*F$198)</f>
        <v>0</v>
      </c>
      <c r="G208" s="70">
        <f>(((G18*(1-'5.Closing Stock &amp; W Capital'!$D$18))+(F18*'5.Closing Stock &amp; W Capital'!$D$18))*$C208*G$198)</f>
        <v>0</v>
      </c>
      <c r="H208" s="70">
        <f>(((H18*(1-'5.Closing Stock &amp; W Capital'!$D$18))+(G18*'5.Closing Stock &amp; W Capital'!$D$18))*$C208*H$198)</f>
        <v>0</v>
      </c>
      <c r="I208" s="70">
        <f>(((I18*(1-'5.Closing Stock &amp; W Capital'!$D$18))+(H18*'5.Closing Stock &amp; W Capital'!$D$18))*$C208*I$198)</f>
        <v>0</v>
      </c>
      <c r="J208" s="70">
        <f>(((J18*(1-'5.Closing Stock &amp; W Capital'!$D$18))+(I18*'5.Closing Stock &amp; W Capital'!$D$18))*$C208*J$198)</f>
        <v>0</v>
      </c>
    </row>
    <row r="209" spans="1:10">
      <c r="A209" s="71" t="str">
        <f t="shared" si="23"/>
        <v>Coliflower</v>
      </c>
      <c r="B209" s="69" t="s">
        <v>523</v>
      </c>
      <c r="C209" s="69">
        <f t="shared" si="24"/>
        <v>3449.9999999999995</v>
      </c>
      <c r="D209" s="70">
        <f>(D19*(1-'5.Closing Stock &amp; W Capital'!$D$18)*$C209*D$198)</f>
        <v>0</v>
      </c>
      <c r="E209" s="70">
        <f>(((E19*(1-'5.Closing Stock &amp; W Capital'!$D$18))+(D19*'5.Closing Stock &amp; W Capital'!$D$18))*$C209*E$198)</f>
        <v>0</v>
      </c>
      <c r="F209" s="70">
        <f>(((F19*(1-'5.Closing Stock &amp; W Capital'!$D$18))+(E19*'5.Closing Stock &amp; W Capital'!$D$18))*$C209*F$198)</f>
        <v>0</v>
      </c>
      <c r="G209" s="70">
        <f>(((G19*(1-'5.Closing Stock &amp; W Capital'!$D$18))+(F19*'5.Closing Stock &amp; W Capital'!$D$18))*$C209*G$198)</f>
        <v>0</v>
      </c>
      <c r="H209" s="70">
        <f>(((H19*(1-'5.Closing Stock &amp; W Capital'!$D$18))+(G19*'5.Closing Stock &amp; W Capital'!$D$18))*$C209*H$198)</f>
        <v>0</v>
      </c>
      <c r="I209" s="70">
        <f>(((I19*(1-'5.Closing Stock &amp; W Capital'!$D$18))+(H19*'5.Closing Stock &amp; W Capital'!$D$18))*$C209*I$198)</f>
        <v>0</v>
      </c>
      <c r="J209" s="70">
        <f>(((J19*(1-'5.Closing Stock &amp; W Capital'!$D$18))+(I19*'5.Closing Stock &amp; W Capital'!$D$18))*$C209*J$198)</f>
        <v>0</v>
      </c>
    </row>
    <row r="210" spans="1:10">
      <c r="A210" s="71" t="str">
        <f t="shared" si="23"/>
        <v>Bitter Gurd</v>
      </c>
      <c r="B210" s="69" t="s">
        <v>523</v>
      </c>
      <c r="C210" s="69">
        <f t="shared" si="24"/>
        <v>2300</v>
      </c>
      <c r="D210" s="70">
        <f>(D20*(1-'5.Closing Stock &amp; W Capital'!$D$18)*$C210*D$198)</f>
        <v>0</v>
      </c>
      <c r="E210" s="70">
        <f>(((E20*(1-'5.Closing Stock &amp; W Capital'!$D$18))+(D20*'5.Closing Stock &amp; W Capital'!$D$18))*$C210*E$198)</f>
        <v>0</v>
      </c>
      <c r="F210" s="70">
        <f>(((F20*(1-'5.Closing Stock &amp; W Capital'!$D$18))+(E20*'5.Closing Stock &amp; W Capital'!$D$18))*$C210*F$198)</f>
        <v>0</v>
      </c>
      <c r="G210" s="70">
        <f>(((G20*(1-'5.Closing Stock &amp; W Capital'!$D$18))+(F20*'5.Closing Stock &amp; W Capital'!$D$18))*$C210*G$198)</f>
        <v>0</v>
      </c>
      <c r="H210" s="70">
        <f>(((H20*(1-'5.Closing Stock &amp; W Capital'!$D$18))+(G20*'5.Closing Stock &amp; W Capital'!$D$18))*$C210*H$198)</f>
        <v>0</v>
      </c>
      <c r="I210" s="70">
        <f>(((I20*(1-'5.Closing Stock &amp; W Capital'!$D$18))+(H20*'5.Closing Stock &amp; W Capital'!$D$18))*$C210*I$198)</f>
        <v>0</v>
      </c>
      <c r="J210" s="70">
        <f>(((J20*(1-'5.Closing Stock &amp; W Capital'!$D$18))+(I20*'5.Closing Stock &amp; W Capital'!$D$18))*$C210*J$198)</f>
        <v>0</v>
      </c>
    </row>
    <row r="211" spans="1:10">
      <c r="A211" s="71"/>
      <c r="B211" s="71"/>
      <c r="C211" s="69"/>
      <c r="D211" s="70">
        <f>(D21*(1-'5.Closing Stock &amp; W Capital'!$D$18)*$C211*D$198)</f>
        <v>0</v>
      </c>
      <c r="E211" s="70">
        <f>(((E21*(1-'5.Closing Stock &amp; W Capital'!$D$18))+(D21*'5.Closing Stock &amp; W Capital'!$D$18))*$C211*E$198)</f>
        <v>0</v>
      </c>
      <c r="F211" s="70">
        <f>(((F21*(1-'5.Closing Stock &amp; W Capital'!$D$18))+(E21*'5.Closing Stock &amp; W Capital'!$D$18))*$C211*F$198)</f>
        <v>0</v>
      </c>
      <c r="G211" s="70">
        <f>(((G21*(1-'5.Closing Stock &amp; W Capital'!$D$18))+(F21*'5.Closing Stock &amp; W Capital'!$D$18))*$C211*G$198)</f>
        <v>0</v>
      </c>
      <c r="H211" s="70">
        <f>(((H21*(1-'5.Closing Stock &amp; W Capital'!$D$18))+(G21*'5.Closing Stock &amp; W Capital'!$D$18))*$C211*H$198)</f>
        <v>0</v>
      </c>
      <c r="I211" s="70">
        <f>(((I21*(1-'5.Closing Stock &amp; W Capital'!$D$18))+(H21*'5.Closing Stock &amp; W Capital'!$D$18))*$C211*I$198)</f>
        <v>0</v>
      </c>
      <c r="J211" s="70">
        <f>(((J21*(1-'5.Closing Stock &amp; W Capital'!$D$18))+(I21*'5.Closing Stock &amp; W Capital'!$D$18))*$C211*J$198)</f>
        <v>0</v>
      </c>
    </row>
    <row r="212" spans="1:10">
      <c r="A212" s="71" t="str">
        <f t="shared" ref="A212:A217" si="25">+A22</f>
        <v>Exotic Vegitables</v>
      </c>
      <c r="B212" s="69" t="s">
        <v>523</v>
      </c>
      <c r="C212" s="69">
        <f t="shared" ref="C212:C217" si="26">+C252*115%</f>
        <v>1724.9999999999998</v>
      </c>
      <c r="D212" s="70">
        <f>(D22*(1-'5.Closing Stock &amp; W Capital'!$D$18)*$C212*D$198)</f>
        <v>0</v>
      </c>
      <c r="E212" s="70">
        <f>(((E22*(1-'5.Closing Stock &amp; W Capital'!$D$18))+(D22*'5.Closing Stock &amp; W Capital'!$D$18))*$C212*E$198)</f>
        <v>0</v>
      </c>
      <c r="F212" s="70">
        <f>(((F22*(1-'5.Closing Stock &amp; W Capital'!$D$18))+(E22*'5.Closing Stock &amp; W Capital'!$D$18))*$C212*F$198)</f>
        <v>0</v>
      </c>
      <c r="G212" s="70">
        <f>(((G22*(1-'5.Closing Stock &amp; W Capital'!$D$18))+(F22*'5.Closing Stock &amp; W Capital'!$D$18))*$C212*G$198)</f>
        <v>0</v>
      </c>
      <c r="H212" s="70">
        <f>(((H22*(1-'5.Closing Stock &amp; W Capital'!$D$18))+(G22*'5.Closing Stock &amp; W Capital'!$D$18))*$C212*H$198)</f>
        <v>0</v>
      </c>
      <c r="I212" s="70">
        <f>(((I22*(1-'5.Closing Stock &amp; W Capital'!$D$18))+(H22*'5.Closing Stock &amp; W Capital'!$D$18))*$C212*I$198)</f>
        <v>0</v>
      </c>
      <c r="J212" s="70">
        <f>(((J22*(1-'5.Closing Stock &amp; W Capital'!$D$18))+(I22*'5.Closing Stock &amp; W Capital'!$D$18))*$C212*J$198)</f>
        <v>0</v>
      </c>
    </row>
    <row r="213" spans="1:10">
      <c r="A213" s="71" t="str">
        <f t="shared" si="25"/>
        <v>Tomato</v>
      </c>
      <c r="B213" s="69" t="s">
        <v>523</v>
      </c>
      <c r="C213" s="69">
        <f t="shared" si="26"/>
        <v>2875</v>
      </c>
      <c r="D213" s="70">
        <f>(D23*(1-'5.Closing Stock &amp; W Capital'!$D$18)*$C213*D$198)</f>
        <v>0</v>
      </c>
      <c r="E213" s="70">
        <f>(((E23*(1-'5.Closing Stock &amp; W Capital'!$D$18))+(D23*'5.Closing Stock &amp; W Capital'!$D$18))*$C213*E$198)</f>
        <v>0</v>
      </c>
      <c r="F213" s="70">
        <f>(((F23*(1-'5.Closing Stock &amp; W Capital'!$D$18))+(E23*'5.Closing Stock &amp; W Capital'!$D$18))*$C213*F$198)</f>
        <v>0</v>
      </c>
      <c r="G213" s="70">
        <f>(((G23*(1-'5.Closing Stock &amp; W Capital'!$D$18))+(F23*'5.Closing Stock &amp; W Capital'!$D$18))*$C213*G$198)</f>
        <v>0</v>
      </c>
      <c r="H213" s="70">
        <f>(((H23*(1-'5.Closing Stock &amp; W Capital'!$D$18))+(G23*'5.Closing Stock &amp; W Capital'!$D$18))*$C213*H$198)</f>
        <v>0</v>
      </c>
      <c r="I213" s="70">
        <f>(((I23*(1-'5.Closing Stock &amp; W Capital'!$D$18))+(H23*'5.Closing Stock &amp; W Capital'!$D$18))*$C213*I$198)</f>
        <v>0</v>
      </c>
      <c r="J213" s="70">
        <f>(((J23*(1-'5.Closing Stock &amp; W Capital'!$D$18))+(I23*'5.Closing Stock &amp; W Capital'!$D$18))*$C213*J$198)</f>
        <v>0</v>
      </c>
    </row>
    <row r="214" spans="1:10">
      <c r="A214" s="71" t="str">
        <f t="shared" si="25"/>
        <v>Okra</v>
      </c>
      <c r="B214" s="69" t="s">
        <v>523</v>
      </c>
      <c r="C214" s="69">
        <f t="shared" si="26"/>
        <v>2875</v>
      </c>
      <c r="D214" s="70">
        <f>(D24*(1-'5.Closing Stock &amp; W Capital'!$D$18)*$C214*D$198)</f>
        <v>0</v>
      </c>
      <c r="E214" s="70">
        <f>(((E24*(1-'5.Closing Stock &amp; W Capital'!$D$18))+(D24*'5.Closing Stock &amp; W Capital'!$D$18))*$C214*E$198)</f>
        <v>0</v>
      </c>
      <c r="F214" s="70">
        <f>(((F24*(1-'5.Closing Stock &amp; W Capital'!$D$18))+(E24*'5.Closing Stock &amp; W Capital'!$D$18))*$C214*F$198)</f>
        <v>0</v>
      </c>
      <c r="G214" s="70">
        <f>(((G24*(1-'5.Closing Stock &amp; W Capital'!$D$18))+(F24*'5.Closing Stock &amp; W Capital'!$D$18))*$C214*G$198)</f>
        <v>0</v>
      </c>
      <c r="H214" s="70">
        <f>(((H24*(1-'5.Closing Stock &amp; W Capital'!$D$18))+(G24*'5.Closing Stock &amp; W Capital'!$D$18))*$C214*H$198)</f>
        <v>0</v>
      </c>
      <c r="I214" s="70">
        <f>(((I24*(1-'5.Closing Stock &amp; W Capital'!$D$18))+(H24*'5.Closing Stock &amp; W Capital'!$D$18))*$C214*I$198)</f>
        <v>0</v>
      </c>
      <c r="J214" s="70">
        <f>(((J24*(1-'5.Closing Stock &amp; W Capital'!$D$18))+(I24*'5.Closing Stock &amp; W Capital'!$D$18))*$C214*J$198)</f>
        <v>0</v>
      </c>
    </row>
    <row r="215" spans="1:10">
      <c r="A215" s="71" t="str">
        <f t="shared" si="25"/>
        <v>Chilli</v>
      </c>
      <c r="B215" s="69" t="s">
        <v>523</v>
      </c>
      <c r="C215" s="69">
        <f t="shared" si="26"/>
        <v>4600</v>
      </c>
      <c r="D215" s="70">
        <f>(D25*(1-'5.Closing Stock &amp; W Capital'!$D$18)*$C215*D$198)</f>
        <v>0</v>
      </c>
      <c r="E215" s="70">
        <f>(((E25*(1-'5.Closing Stock &amp; W Capital'!$D$18))+(D25*'5.Closing Stock &amp; W Capital'!$D$18))*$C215*E$198)</f>
        <v>0</v>
      </c>
      <c r="F215" s="70">
        <f>(((F25*(1-'5.Closing Stock &amp; W Capital'!$D$18))+(E25*'5.Closing Stock &amp; W Capital'!$D$18))*$C215*F$198)</f>
        <v>0</v>
      </c>
      <c r="G215" s="70">
        <f>(((G25*(1-'5.Closing Stock &amp; W Capital'!$D$18))+(F25*'5.Closing Stock &amp; W Capital'!$D$18))*$C215*G$198)</f>
        <v>0</v>
      </c>
      <c r="H215" s="70">
        <f>(((H25*(1-'5.Closing Stock &amp; W Capital'!$D$18))+(G25*'5.Closing Stock &amp; W Capital'!$D$18))*$C215*H$198)</f>
        <v>0</v>
      </c>
      <c r="I215" s="70">
        <f>(((I25*(1-'5.Closing Stock &amp; W Capital'!$D$18))+(H25*'5.Closing Stock &amp; W Capital'!$D$18))*$C215*I$198)</f>
        <v>0</v>
      </c>
      <c r="J215" s="70">
        <f>(((J25*(1-'5.Closing Stock &amp; W Capital'!$D$18))+(I25*'5.Closing Stock &amp; W Capital'!$D$18))*$C215*J$198)</f>
        <v>0</v>
      </c>
    </row>
    <row r="216" spans="1:10">
      <c r="A216" s="71" t="str">
        <f t="shared" si="25"/>
        <v>Brinjal</v>
      </c>
      <c r="B216" s="69" t="s">
        <v>523</v>
      </c>
      <c r="C216" s="69">
        <f t="shared" si="26"/>
        <v>3449.9999999999995</v>
      </c>
      <c r="D216" s="70">
        <f>(D26*(1-'5.Closing Stock &amp; W Capital'!$D$18)*$C216*D$198)</f>
        <v>0</v>
      </c>
      <c r="E216" s="70">
        <f>(((E26*(1-'5.Closing Stock &amp; W Capital'!$D$18))+(D26*'5.Closing Stock &amp; W Capital'!$D$18))*$C216*E$198)</f>
        <v>0</v>
      </c>
      <c r="F216" s="70">
        <f>(((F26*(1-'5.Closing Stock &amp; W Capital'!$D$18))+(E26*'5.Closing Stock &amp; W Capital'!$D$18))*$C216*F$198)</f>
        <v>0</v>
      </c>
      <c r="G216" s="70">
        <f>(((G26*(1-'5.Closing Stock &amp; W Capital'!$D$18))+(F26*'5.Closing Stock &amp; W Capital'!$D$18))*$C216*G$198)</f>
        <v>0</v>
      </c>
      <c r="H216" s="70">
        <f>(((H26*(1-'5.Closing Stock &amp; W Capital'!$D$18))+(G26*'5.Closing Stock &amp; W Capital'!$D$18))*$C216*H$198)</f>
        <v>0</v>
      </c>
      <c r="I216" s="70">
        <f>(((I26*(1-'5.Closing Stock &amp; W Capital'!$D$18))+(H26*'5.Closing Stock &amp; W Capital'!$D$18))*$C216*I$198)</f>
        <v>0</v>
      </c>
      <c r="J216" s="70">
        <f>(((J26*(1-'5.Closing Stock &amp; W Capital'!$D$18))+(I26*'5.Closing Stock &amp; W Capital'!$D$18))*$C216*J$198)</f>
        <v>0</v>
      </c>
    </row>
    <row r="217" spans="1:10">
      <c r="A217" s="71" t="str">
        <f t="shared" si="25"/>
        <v>Ginger</v>
      </c>
      <c r="B217" s="69" t="s">
        <v>523</v>
      </c>
      <c r="C217" s="69">
        <f t="shared" si="26"/>
        <v>3449.9999999999995</v>
      </c>
      <c r="D217" s="70">
        <f>(D27*(1-'5.Closing Stock &amp; W Capital'!$D$18)*$C217*D$198)</f>
        <v>0</v>
      </c>
      <c r="E217" s="70">
        <f>(((E27*(1-'5.Closing Stock &amp; W Capital'!$D$18))+(D27*'5.Closing Stock &amp; W Capital'!$D$18))*$C217*E$198)</f>
        <v>0</v>
      </c>
      <c r="F217" s="70">
        <f>(((F27*(1-'5.Closing Stock &amp; W Capital'!$D$18))+(E27*'5.Closing Stock &amp; W Capital'!$D$18))*$C217*F$198)</f>
        <v>0</v>
      </c>
      <c r="G217" s="70">
        <f>(((G27*(1-'5.Closing Stock &amp; W Capital'!$D$18))+(F27*'5.Closing Stock &amp; W Capital'!$D$18))*$C217*G$198)</f>
        <v>0</v>
      </c>
      <c r="H217" s="70">
        <f>(((H27*(1-'5.Closing Stock &amp; W Capital'!$D$18))+(G27*'5.Closing Stock &amp; W Capital'!$D$18))*$C217*H$198)</f>
        <v>0</v>
      </c>
      <c r="I217" s="70">
        <f>(((I27*(1-'5.Closing Stock &amp; W Capital'!$D$18))+(H27*'5.Closing Stock &amp; W Capital'!$D$18))*$C217*I$198)</f>
        <v>0</v>
      </c>
      <c r="J217" s="70">
        <f>(((J27*(1-'5.Closing Stock &amp; W Capital'!$D$18))+(I27*'5.Closing Stock &amp; W Capital'!$D$18))*$C217*J$198)</f>
        <v>0</v>
      </c>
    </row>
    <row r="218" spans="1:10">
      <c r="A218" s="71"/>
      <c r="B218" s="71"/>
      <c r="C218" s="69"/>
      <c r="D218" s="70">
        <f>(D28*(1-'5.Closing Stock &amp; W Capital'!$D$18)*$C218*D$198)</f>
        <v>0</v>
      </c>
      <c r="E218" s="70">
        <f>(((E28*(1-'5.Closing Stock &amp; W Capital'!$D$18))+(D28*'5.Closing Stock &amp; W Capital'!$D$18))*$C218*E$198)</f>
        <v>0</v>
      </c>
      <c r="F218" s="70">
        <f>(((F28*(1-'5.Closing Stock &amp; W Capital'!$D$18))+(E28*'5.Closing Stock &amp; W Capital'!$D$18))*$C218*F$198)</f>
        <v>0</v>
      </c>
      <c r="G218" s="70">
        <f>(((G28*(1-'5.Closing Stock &amp; W Capital'!$D$18))+(F28*'5.Closing Stock &amp; W Capital'!$D$18))*$C218*G$198)</f>
        <v>0</v>
      </c>
      <c r="H218" s="70">
        <f>(((H28*(1-'5.Closing Stock &amp; W Capital'!$D$18))+(G28*'5.Closing Stock &amp; W Capital'!$D$18))*$C218*H$198)</f>
        <v>0</v>
      </c>
      <c r="I218" s="70">
        <f>(((I28*(1-'5.Closing Stock &amp; W Capital'!$D$18))+(H28*'5.Closing Stock &amp; W Capital'!$D$18))*$C218*I$198)</f>
        <v>0</v>
      </c>
      <c r="J218" s="70">
        <f>(((J28*(1-'5.Closing Stock &amp; W Capital'!$D$18))+(I28*'5.Closing Stock &amp; W Capital'!$D$18))*$C218*J$198)</f>
        <v>0</v>
      </c>
    </row>
    <row r="219" spans="1:10">
      <c r="A219" s="71"/>
      <c r="B219" s="71"/>
      <c r="C219" s="69"/>
      <c r="D219" s="70">
        <f>(D29*(1-'5.Closing Stock &amp; W Capital'!$D$18)*$C219*D$198)</f>
        <v>0</v>
      </c>
      <c r="E219" s="70">
        <f>(((E29*(1-'5.Closing Stock &amp; W Capital'!$D$18))+(D29*'5.Closing Stock &amp; W Capital'!$D$18))*$C219*E$198)</f>
        <v>0</v>
      </c>
      <c r="F219" s="70">
        <f>(((F29*(1-'5.Closing Stock &amp; W Capital'!$D$18))+(E29*'5.Closing Stock &amp; W Capital'!$D$18))*$C219*F$198)</f>
        <v>0</v>
      </c>
      <c r="G219" s="70">
        <f>(((G29*(1-'5.Closing Stock &amp; W Capital'!$D$18))+(F29*'5.Closing Stock &amp; W Capital'!$D$18))*$C219*G$198)</f>
        <v>0</v>
      </c>
      <c r="H219" s="70">
        <f>(((H29*(1-'5.Closing Stock &amp; W Capital'!$D$18))+(G29*'5.Closing Stock &amp; W Capital'!$D$18))*$C219*H$198)</f>
        <v>0</v>
      </c>
      <c r="I219" s="70">
        <f>(((I29*(1-'5.Closing Stock &amp; W Capital'!$D$18))+(H29*'5.Closing Stock &amp; W Capital'!$D$18))*$C219*I$198)</f>
        <v>0</v>
      </c>
      <c r="J219" s="70">
        <f>(((J29*(1-'5.Closing Stock &amp; W Capital'!$D$18))+(I29*'5.Closing Stock &amp; W Capital'!$D$18))*$C219*J$198)</f>
        <v>0</v>
      </c>
    </row>
    <row r="220" spans="1:10">
      <c r="A220" s="71" t="str">
        <f>+A30</f>
        <v>Spinach</v>
      </c>
      <c r="B220" s="69" t="s">
        <v>523</v>
      </c>
      <c r="C220" s="69">
        <f>+C260*115%</f>
        <v>1724.9999999999998</v>
      </c>
      <c r="D220" s="70">
        <f>(D30*(1-'5.Closing Stock &amp; W Capital'!$D$18)*$C220*D$198)</f>
        <v>0</v>
      </c>
      <c r="E220" s="70">
        <f>(((E30*(1-'5.Closing Stock &amp; W Capital'!$D$18))+(D30*'5.Closing Stock &amp; W Capital'!$D$18))*$C220*E$198)</f>
        <v>0</v>
      </c>
      <c r="F220" s="70">
        <f>(((F30*(1-'5.Closing Stock &amp; W Capital'!$D$18))+(E30*'5.Closing Stock &amp; W Capital'!$D$18))*$C220*F$198)</f>
        <v>0</v>
      </c>
      <c r="G220" s="70">
        <f>(((G30*(1-'5.Closing Stock &amp; W Capital'!$D$18))+(F30*'5.Closing Stock &amp; W Capital'!$D$18))*$C220*G$198)</f>
        <v>0</v>
      </c>
      <c r="H220" s="70">
        <f>(((H30*(1-'5.Closing Stock &amp; W Capital'!$D$18))+(G30*'5.Closing Stock &amp; W Capital'!$D$18))*$C220*H$198)</f>
        <v>0</v>
      </c>
      <c r="I220" s="70">
        <f>(((I30*(1-'5.Closing Stock &amp; W Capital'!$D$18))+(H30*'5.Closing Stock &amp; W Capital'!$D$18))*$C220*I$198)</f>
        <v>0</v>
      </c>
      <c r="J220" s="70">
        <f>(((J30*(1-'5.Closing Stock &amp; W Capital'!$D$18))+(I30*'5.Closing Stock &amp; W Capital'!$D$18))*$C220*J$198)</f>
        <v>0</v>
      </c>
    </row>
    <row r="221" spans="1:10">
      <c r="A221" s="71" t="str">
        <f>+A31</f>
        <v>Fenugreek</v>
      </c>
      <c r="B221" s="69" t="s">
        <v>523</v>
      </c>
      <c r="C221" s="69">
        <f>+C261*115%</f>
        <v>1150</v>
      </c>
      <c r="D221" s="70">
        <f>(D31*(1-'5.Closing Stock &amp; W Capital'!$D$18)*$C221*D$198)</f>
        <v>0</v>
      </c>
      <c r="E221" s="70">
        <f>(((E31*(1-'5.Closing Stock &amp; W Capital'!$D$18))+(D31*'5.Closing Stock &amp; W Capital'!$D$18))*$C221*E$198)</f>
        <v>0</v>
      </c>
      <c r="F221" s="70">
        <f>(((F31*(1-'5.Closing Stock &amp; W Capital'!$D$18))+(E31*'5.Closing Stock &amp; W Capital'!$D$18))*$C221*F$198)</f>
        <v>0</v>
      </c>
      <c r="G221" s="70">
        <f>(((G31*(1-'5.Closing Stock &amp; W Capital'!$D$18))+(F31*'5.Closing Stock &amp; W Capital'!$D$18))*$C221*G$198)</f>
        <v>0</v>
      </c>
      <c r="H221" s="70">
        <f>(((H31*(1-'5.Closing Stock &amp; W Capital'!$D$18))+(G31*'5.Closing Stock &amp; W Capital'!$D$18))*$C221*H$198)</f>
        <v>0</v>
      </c>
      <c r="I221" s="70">
        <f>(((I31*(1-'5.Closing Stock &amp; W Capital'!$D$18))+(H31*'5.Closing Stock &amp; W Capital'!$D$18))*$C221*I$198)</f>
        <v>0</v>
      </c>
      <c r="J221" s="70">
        <f>(((J31*(1-'5.Closing Stock &amp; W Capital'!$D$18))+(I31*'5.Closing Stock &amp; W Capital'!$D$18))*$C221*J$198)</f>
        <v>0</v>
      </c>
    </row>
    <row r="222" spans="1:10">
      <c r="A222" s="71" t="str">
        <f>+A32</f>
        <v>coriander</v>
      </c>
      <c r="B222" s="69" t="s">
        <v>523</v>
      </c>
      <c r="C222" s="69">
        <f>+C262*115%</f>
        <v>2875</v>
      </c>
      <c r="D222" s="70">
        <f>(D32*(1-'5.Closing Stock &amp; W Capital'!$D$18)*$C222*D$198)</f>
        <v>0</v>
      </c>
      <c r="E222" s="70">
        <f>(((E32*(1-'5.Closing Stock &amp; W Capital'!$D$18))+(D32*'5.Closing Stock &amp; W Capital'!$D$18))*$C222*E$198)</f>
        <v>0</v>
      </c>
      <c r="F222" s="70">
        <f>(((F32*(1-'5.Closing Stock &amp; W Capital'!$D$18))+(E32*'5.Closing Stock &amp; W Capital'!$D$18))*$C222*F$198)</f>
        <v>0</v>
      </c>
      <c r="G222" s="70">
        <f>(((G32*(1-'5.Closing Stock &amp; W Capital'!$D$18))+(F32*'5.Closing Stock &amp; W Capital'!$D$18))*$C222*G$198)</f>
        <v>0</v>
      </c>
      <c r="H222" s="70">
        <f>(((H32*(1-'5.Closing Stock &amp; W Capital'!$D$18))+(G32*'5.Closing Stock &amp; W Capital'!$D$18))*$C222*H$198)</f>
        <v>0</v>
      </c>
      <c r="I222" s="70">
        <f>(((I32*(1-'5.Closing Stock &amp; W Capital'!$D$18))+(H32*'5.Closing Stock &amp; W Capital'!$D$18))*$C222*I$198)</f>
        <v>0</v>
      </c>
      <c r="J222" s="70">
        <f>(((J32*(1-'5.Closing Stock &amp; W Capital'!$D$18))+(I32*'5.Closing Stock &amp; W Capital'!$D$18))*$C222*J$198)</f>
        <v>0</v>
      </c>
    </row>
    <row r="223" spans="1:10">
      <c r="A223" s="71" t="str">
        <f>+A33</f>
        <v>Shepu</v>
      </c>
      <c r="B223" s="69" t="s">
        <v>523</v>
      </c>
      <c r="C223" s="69">
        <f>+C263*115%</f>
        <v>1380</v>
      </c>
      <c r="D223" s="70">
        <f>(D33*(1-'5.Closing Stock &amp; W Capital'!$D$18)*$C223*D$198)</f>
        <v>0</v>
      </c>
      <c r="E223" s="70">
        <f>(((E33*(1-'5.Closing Stock &amp; W Capital'!$D$18))+(D33*'5.Closing Stock &amp; W Capital'!$D$18))*$C223*E$198)</f>
        <v>0</v>
      </c>
      <c r="F223" s="70">
        <f>(((F33*(1-'5.Closing Stock &amp; W Capital'!$D$18))+(E33*'5.Closing Stock &amp; W Capital'!$D$18))*$C223*F$198)</f>
        <v>0</v>
      </c>
      <c r="G223" s="70">
        <f>(((G33*(1-'5.Closing Stock &amp; W Capital'!$D$18))+(F33*'5.Closing Stock &amp; W Capital'!$D$18))*$C223*G$198)</f>
        <v>0</v>
      </c>
      <c r="H223" s="70">
        <f>(((H33*(1-'5.Closing Stock &amp; W Capital'!$D$18))+(G33*'5.Closing Stock &amp; W Capital'!$D$18))*$C223*H$198)</f>
        <v>0</v>
      </c>
      <c r="I223" s="70">
        <f>(((I33*(1-'5.Closing Stock &amp; W Capital'!$D$18))+(H33*'5.Closing Stock &amp; W Capital'!$D$18))*$C223*I$198)</f>
        <v>0</v>
      </c>
      <c r="J223" s="70">
        <f>(((J33*(1-'5.Closing Stock &amp; W Capital'!$D$18))+(I33*'5.Closing Stock &amp; W Capital'!$D$18))*$C223*J$198)</f>
        <v>0</v>
      </c>
    </row>
    <row r="224" spans="1:10">
      <c r="A224" s="71"/>
      <c r="B224" s="69"/>
      <c r="C224" s="69"/>
      <c r="D224" s="70">
        <f>(D34*(1-'5.Closing Stock &amp; W Capital'!$D$18)*$C224*D$198)</f>
        <v>0</v>
      </c>
      <c r="E224" s="70">
        <f>(((E34*(1-'5.Closing Stock &amp; W Capital'!$D$18))+(D34*'5.Closing Stock &amp; W Capital'!$D$18))*$C224*E$198)</f>
        <v>0</v>
      </c>
      <c r="F224" s="70">
        <f>(((F34*(1-'5.Closing Stock &amp; W Capital'!$D$18))+(E34*'5.Closing Stock &amp; W Capital'!$D$18))*$C224*F$198)</f>
        <v>0</v>
      </c>
      <c r="G224" s="70">
        <f>(((G34*(1-'5.Closing Stock &amp; W Capital'!$D$18))+(F34*'5.Closing Stock &amp; W Capital'!$D$18))*$C224*G$198)</f>
        <v>0</v>
      </c>
      <c r="H224" s="70">
        <f>(((H34*(1-'5.Closing Stock &amp; W Capital'!$D$18))+(G34*'5.Closing Stock &amp; W Capital'!$D$18))*$C224*H$198)</f>
        <v>0</v>
      </c>
      <c r="I224" s="70">
        <f>(((I34*(1-'5.Closing Stock &amp; W Capital'!$D$18))+(H34*'5.Closing Stock &amp; W Capital'!$D$18))*$C224*I$198)</f>
        <v>0</v>
      </c>
      <c r="J224" s="70">
        <f>(((J34*(1-'5.Closing Stock &amp; W Capital'!$D$18))+(I34*'5.Closing Stock &amp; W Capital'!$D$18))*$C224*J$198)</f>
        <v>0</v>
      </c>
    </row>
    <row r="225" spans="1:12">
      <c r="A225" s="71" t="str">
        <f>+A35</f>
        <v>Pomegranate</v>
      </c>
      <c r="B225" s="69" t="s">
        <v>523</v>
      </c>
      <c r="C225" s="69">
        <f>+C265*110%</f>
        <v>5500</v>
      </c>
      <c r="D225" s="70">
        <f>(D35*(1-'5.Closing Stock &amp; W Capital'!$D$18)*$C225*D$198)</f>
        <v>0</v>
      </c>
      <c r="E225" s="70">
        <f>(((E35*(1-'5.Closing Stock &amp; W Capital'!$D$18))+(D35*'5.Closing Stock &amp; W Capital'!$D$18))*$C225*E$198)</f>
        <v>0</v>
      </c>
      <c r="F225" s="70">
        <f>(((F35*(1-'5.Closing Stock &amp; W Capital'!$D$18))+(E35*'5.Closing Stock &amp; W Capital'!$D$18))*$C225*F$198)</f>
        <v>0</v>
      </c>
      <c r="G225" s="70">
        <f>(((G35*(1-'5.Closing Stock &amp; W Capital'!$D$18))+(F35*'5.Closing Stock &amp; W Capital'!$D$18))*$C225*G$198)</f>
        <v>0</v>
      </c>
      <c r="H225" s="70">
        <f>(((H35*(1-'5.Closing Stock &amp; W Capital'!$D$18))+(G35*'5.Closing Stock &amp; W Capital'!$D$18))*$C225*H$198)</f>
        <v>0</v>
      </c>
      <c r="I225" s="70">
        <f>(((I35*(1-'5.Closing Stock &amp; W Capital'!$D$18))+(H35*'5.Closing Stock &amp; W Capital'!$D$18))*$C225*I$198)</f>
        <v>0</v>
      </c>
      <c r="J225" s="70">
        <f>(((J35*(1-'5.Closing Stock &amp; W Capital'!$D$18))+(I35*'5.Closing Stock &amp; W Capital'!$D$18))*$C225*J$198)</f>
        <v>0</v>
      </c>
    </row>
    <row r="226" spans="1:12">
      <c r="A226" s="71" t="str">
        <f>+A36</f>
        <v>Banana</v>
      </c>
      <c r="B226" s="69" t="s">
        <v>523</v>
      </c>
      <c r="C226" s="69">
        <f>+C266*110%</f>
        <v>5500</v>
      </c>
      <c r="D226" s="70">
        <f>(D36*(1-'5.Closing Stock &amp; W Capital'!$D$18)*$C226*D$198)</f>
        <v>0</v>
      </c>
      <c r="E226" s="70">
        <f>(((E36*(1-'5.Closing Stock &amp; W Capital'!$D$18))+(D36*'5.Closing Stock &amp; W Capital'!$D$18))*$C226*E$198)</f>
        <v>0</v>
      </c>
      <c r="F226" s="70">
        <f>(((F36*(1-'5.Closing Stock &amp; W Capital'!$D$18))+(E36*'5.Closing Stock &amp; W Capital'!$D$18))*$C226*F$198)</f>
        <v>0</v>
      </c>
      <c r="G226" s="70">
        <f>(((G36*(1-'5.Closing Stock &amp; W Capital'!$D$18))+(F36*'5.Closing Stock &amp; W Capital'!$D$18))*$C226*G$198)</f>
        <v>0</v>
      </c>
      <c r="H226" s="70">
        <f>(((H36*(1-'5.Closing Stock &amp; W Capital'!$D$18))+(G36*'5.Closing Stock &amp; W Capital'!$D$18))*$C226*H$198)</f>
        <v>0</v>
      </c>
      <c r="I226" s="70">
        <f>(((I36*(1-'5.Closing Stock &amp; W Capital'!$D$18))+(H36*'5.Closing Stock &amp; W Capital'!$D$18))*$C226*I$198)</f>
        <v>0</v>
      </c>
      <c r="J226" s="70">
        <f>(((J36*(1-'5.Closing Stock &amp; W Capital'!$D$18))+(I36*'5.Closing Stock &amp; W Capital'!$D$18))*$C226*J$198)</f>
        <v>0</v>
      </c>
    </row>
    <row r="227" spans="1:12">
      <c r="A227" s="71" t="str">
        <f>+A37</f>
        <v>Graps</v>
      </c>
      <c r="B227" s="69" t="s">
        <v>523</v>
      </c>
      <c r="C227" s="69">
        <f>+C267*110%</f>
        <v>5500</v>
      </c>
      <c r="D227" s="70">
        <f>(D37*(1-'5.Closing Stock &amp; W Capital'!$D$18)*$C227*D$198)</f>
        <v>0</v>
      </c>
      <c r="E227" s="70">
        <f>(((E37*(1-'5.Closing Stock &amp; W Capital'!$D$18))+(D37*'5.Closing Stock &amp; W Capital'!$D$18))*$C227*E$198)</f>
        <v>0</v>
      </c>
      <c r="F227" s="70">
        <f>(((F37*(1-'5.Closing Stock &amp; W Capital'!$D$18))+(E37*'5.Closing Stock &amp; W Capital'!$D$18))*$C227*F$198)</f>
        <v>0</v>
      </c>
      <c r="G227" s="70">
        <f>(((G37*(1-'5.Closing Stock &amp; W Capital'!$D$18))+(F37*'5.Closing Stock &amp; W Capital'!$D$18))*$C227*G$198)</f>
        <v>0</v>
      </c>
      <c r="H227" s="70">
        <f>(((H37*(1-'5.Closing Stock &amp; W Capital'!$D$18))+(G37*'5.Closing Stock &amp; W Capital'!$D$18))*$C227*H$198)</f>
        <v>0</v>
      </c>
      <c r="I227" s="70">
        <f>(((I37*(1-'5.Closing Stock &amp; W Capital'!$D$18))+(H37*'5.Closing Stock &amp; W Capital'!$D$18))*$C227*I$198)</f>
        <v>0</v>
      </c>
      <c r="J227" s="70">
        <f>(((J37*(1-'5.Closing Stock &amp; W Capital'!$D$18))+(I37*'5.Closing Stock &amp; W Capital'!$D$18))*$C227*J$198)</f>
        <v>0</v>
      </c>
    </row>
    <row r="228" spans="1:12">
      <c r="A228" s="71" t="str">
        <f>+A38</f>
        <v>Mango</v>
      </c>
      <c r="B228" s="69" t="s">
        <v>523</v>
      </c>
      <c r="C228" s="69">
        <v>4000</v>
      </c>
      <c r="D228" s="70">
        <f>(D38*(1-'5.Closing Stock &amp; W Capital'!$D$18)*$C228*D$198)</f>
        <v>0</v>
      </c>
      <c r="E228" s="70">
        <f>(((E38*(1-'5.Closing Stock &amp; W Capital'!$D$18))+(D38*'5.Closing Stock &amp; W Capital'!$D$18))*$C228*E$198)</f>
        <v>0</v>
      </c>
      <c r="F228" s="70">
        <f>(((F38*(1-'5.Closing Stock &amp; W Capital'!$D$18))+(E38*'5.Closing Stock &amp; W Capital'!$D$18))*$C228*F$198)</f>
        <v>0</v>
      </c>
      <c r="G228" s="70">
        <f>(((G38*(1-'5.Closing Stock &amp; W Capital'!$D$18))+(F38*'5.Closing Stock &amp; W Capital'!$D$18))*$C228*G$198)</f>
        <v>0</v>
      </c>
      <c r="H228" s="70">
        <f>(((H38*(1-'5.Closing Stock &amp; W Capital'!$D$18))+(G38*'5.Closing Stock &amp; W Capital'!$D$18))*$C228*H$198)</f>
        <v>0</v>
      </c>
      <c r="I228" s="70">
        <f>(((I38*(1-'5.Closing Stock &amp; W Capital'!$D$18))+(H38*'5.Closing Stock &amp; W Capital'!$D$18))*$C228*I$198)</f>
        <v>0</v>
      </c>
      <c r="J228" s="70">
        <f>(((J38*(1-'5.Closing Stock &amp; W Capital'!$D$18))+(I38*'5.Closing Stock &amp; W Capital'!$D$18))*$C228*J$198)</f>
        <v>0</v>
      </c>
    </row>
    <row r="229" spans="1:12">
      <c r="A229" s="71" t="str">
        <f>+A39</f>
        <v>Citrus</v>
      </c>
      <c r="B229" s="69" t="s">
        <v>523</v>
      </c>
      <c r="C229" s="69">
        <f>+C269*110%</f>
        <v>5500</v>
      </c>
      <c r="D229" s="70">
        <f>(D39*(1-'5.Closing Stock &amp; W Capital'!$D$18)*$C229*D$198)</f>
        <v>0</v>
      </c>
      <c r="E229" s="70">
        <f>(((E39*(1-'5.Closing Stock &amp; W Capital'!$D$18))+(D39*'5.Closing Stock &amp; W Capital'!$D$18))*$C229*E$198)</f>
        <v>0</v>
      </c>
      <c r="F229" s="70">
        <f>(((F39*(1-'5.Closing Stock &amp; W Capital'!$D$18))+(E39*'5.Closing Stock &amp; W Capital'!$D$18))*$C229*F$198)</f>
        <v>0</v>
      </c>
      <c r="G229" s="70">
        <f>(((G39*(1-'5.Closing Stock &amp; W Capital'!$D$18))+(F39*'5.Closing Stock &amp; W Capital'!$D$18))*$C229*G$198)</f>
        <v>0</v>
      </c>
      <c r="H229" s="70">
        <f>(((H39*(1-'5.Closing Stock &amp; W Capital'!$D$18))+(G39*'5.Closing Stock &amp; W Capital'!$D$18))*$C229*H$198)</f>
        <v>0</v>
      </c>
      <c r="I229" s="70">
        <f>(((I39*(1-'5.Closing Stock &amp; W Capital'!$D$18))+(H39*'5.Closing Stock &amp; W Capital'!$D$18))*$C229*I$198)</f>
        <v>0</v>
      </c>
      <c r="J229" s="70">
        <f>(((J39*(1-'5.Closing Stock &amp; W Capital'!$D$18))+(I39*'5.Closing Stock &amp; W Capital'!$D$18))*$C229*J$198)</f>
        <v>0</v>
      </c>
    </row>
    <row r="230" spans="1:12">
      <c r="A230" s="71"/>
      <c r="B230" s="69"/>
      <c r="C230" s="69"/>
      <c r="D230" s="70"/>
      <c r="E230" s="70"/>
      <c r="F230" s="70"/>
      <c r="G230" s="70"/>
      <c r="H230" s="70"/>
      <c r="I230" s="70"/>
      <c r="J230" s="70"/>
      <c r="L230" s="51">
        <f>+D231+D232</f>
        <v>0</v>
      </c>
    </row>
    <row r="231" spans="1:12">
      <c r="A231" s="71" t="str">
        <f>+A41</f>
        <v>Total Quantity to be Processed</v>
      </c>
      <c r="B231" s="69"/>
      <c r="C231" s="69"/>
      <c r="D231" s="70">
        <f>SUM(D41)</f>
        <v>0</v>
      </c>
      <c r="E231" s="70">
        <f t="shared" ref="E231:J231" si="27">SUM(E41)</f>
        <v>0</v>
      </c>
      <c r="F231" s="70">
        <f t="shared" si="27"/>
        <v>0</v>
      </c>
      <c r="G231" s="70">
        <f t="shared" si="27"/>
        <v>0</v>
      </c>
      <c r="H231" s="70">
        <f t="shared" si="27"/>
        <v>0</v>
      </c>
      <c r="I231" s="70">
        <f t="shared" si="27"/>
        <v>0</v>
      </c>
      <c r="J231" s="70">
        <f t="shared" si="27"/>
        <v>0</v>
      </c>
      <c r="L231" s="649" t="e">
        <f>+D231/L230</f>
        <v>#DIV/0!</v>
      </c>
    </row>
    <row r="232" spans="1:12">
      <c r="A232" s="71" t="s">
        <v>1979</v>
      </c>
      <c r="B232" s="69"/>
      <c r="C232" s="69"/>
      <c r="D232" s="70">
        <f>SUM(D152:D178)</f>
        <v>0</v>
      </c>
      <c r="E232" s="70">
        <f t="shared" ref="E232:J232" si="28">SUM(E152:E178)</f>
        <v>0</v>
      </c>
      <c r="F232" s="70">
        <f t="shared" si="28"/>
        <v>0</v>
      </c>
      <c r="G232" s="70">
        <f t="shared" si="28"/>
        <v>0</v>
      </c>
      <c r="H232" s="70">
        <f t="shared" si="28"/>
        <v>0</v>
      </c>
      <c r="I232" s="70">
        <f t="shared" si="28"/>
        <v>0</v>
      </c>
      <c r="J232" s="70">
        <f t="shared" si="28"/>
        <v>0</v>
      </c>
      <c r="L232" s="287" t="e">
        <f>+D232/L230</f>
        <v>#DIV/0!</v>
      </c>
    </row>
    <row r="233" spans="1:12">
      <c r="A233" s="71"/>
      <c r="B233" s="69"/>
      <c r="C233" s="69"/>
      <c r="D233" s="70"/>
      <c r="E233" s="70"/>
      <c r="F233" s="70"/>
      <c r="G233" s="70"/>
      <c r="H233" s="70"/>
      <c r="I233" s="70"/>
      <c r="J233" s="70"/>
    </row>
    <row r="234" spans="1:12">
      <c r="A234" s="71" t="s">
        <v>1978</v>
      </c>
      <c r="B234" s="69"/>
      <c r="C234" s="69">
        <v>500</v>
      </c>
      <c r="D234" s="70">
        <f>+D232*$C$234*D198</f>
        <v>0</v>
      </c>
      <c r="E234" s="70">
        <f t="shared" ref="E234:J234" si="29">+E232*$C$234*E198</f>
        <v>0</v>
      </c>
      <c r="F234" s="70">
        <f t="shared" si="29"/>
        <v>0</v>
      </c>
      <c r="G234" s="70">
        <f t="shared" si="29"/>
        <v>0</v>
      </c>
      <c r="H234" s="70">
        <f t="shared" si="29"/>
        <v>0</v>
      </c>
      <c r="I234" s="70">
        <f t="shared" si="29"/>
        <v>0</v>
      </c>
      <c r="J234" s="70">
        <f t="shared" si="29"/>
        <v>0</v>
      </c>
    </row>
    <row r="235" spans="1:12">
      <c r="A235" s="71"/>
      <c r="B235" s="69"/>
      <c r="C235" s="69"/>
      <c r="D235" s="70"/>
      <c r="E235" s="70"/>
      <c r="F235" s="70"/>
      <c r="G235" s="70"/>
      <c r="H235" s="70"/>
      <c r="I235" s="70"/>
      <c r="J235" s="70"/>
    </row>
    <row r="236" spans="1:12" hidden="1">
      <c r="A236" s="71"/>
      <c r="B236" s="69"/>
      <c r="C236" s="69"/>
      <c r="D236" s="70"/>
      <c r="E236" s="70"/>
      <c r="F236" s="70"/>
      <c r="G236" s="70"/>
      <c r="H236" s="70"/>
      <c r="I236" s="70"/>
      <c r="J236" s="70"/>
    </row>
    <row r="237" spans="1:12" hidden="1">
      <c r="A237" s="71"/>
      <c r="B237" s="69"/>
      <c r="C237" s="69"/>
      <c r="D237" s="70"/>
      <c r="E237" s="70"/>
      <c r="F237" s="70"/>
      <c r="G237" s="70"/>
      <c r="H237" s="70"/>
      <c r="I237" s="70"/>
      <c r="J237" s="70"/>
    </row>
    <row r="238" spans="1:12" hidden="1">
      <c r="A238" s="71"/>
      <c r="B238" s="69"/>
      <c r="C238" s="69"/>
      <c r="D238" s="70"/>
      <c r="E238" s="70"/>
      <c r="F238" s="70"/>
      <c r="G238" s="70"/>
      <c r="H238" s="70"/>
      <c r="I238" s="70"/>
      <c r="J238" s="70"/>
    </row>
    <row r="239" spans="1:12">
      <c r="A239" s="71" t="s">
        <v>126</v>
      </c>
      <c r="B239" s="71"/>
      <c r="C239" s="71"/>
      <c r="D239" s="87">
        <f>SUM(D203:D234)</f>
        <v>0</v>
      </c>
      <c r="E239" s="87">
        <f t="shared" ref="E239:J239" si="30">SUM(E203:E234)</f>
        <v>0</v>
      </c>
      <c r="F239" s="87">
        <f t="shared" si="30"/>
        <v>0</v>
      </c>
      <c r="G239" s="87">
        <f t="shared" si="30"/>
        <v>0</v>
      </c>
      <c r="H239" s="87">
        <f t="shared" si="30"/>
        <v>0</v>
      </c>
      <c r="I239" s="87">
        <f t="shared" si="30"/>
        <v>0</v>
      </c>
      <c r="J239" s="87">
        <f t="shared" si="30"/>
        <v>0</v>
      </c>
    </row>
    <row r="240" spans="1:12">
      <c r="A240" s="119" t="s">
        <v>0</v>
      </c>
      <c r="B240" s="119" t="s">
        <v>132</v>
      </c>
      <c r="C240" s="119" t="s">
        <v>153</v>
      </c>
      <c r="D240" s="91" t="s">
        <v>2</v>
      </c>
      <c r="E240" s="91" t="s">
        <v>3</v>
      </c>
      <c r="F240" s="91" t="s">
        <v>4</v>
      </c>
      <c r="G240" s="91" t="s">
        <v>5</v>
      </c>
      <c r="H240" s="91" t="s">
        <v>6</v>
      </c>
      <c r="I240" s="91" t="s">
        <v>170</v>
      </c>
      <c r="J240" s="91" t="s">
        <v>169</v>
      </c>
    </row>
    <row r="241" spans="1:14">
      <c r="A241" s="71" t="s">
        <v>142</v>
      </c>
      <c r="B241" s="71"/>
      <c r="C241" s="71"/>
      <c r="D241" s="70"/>
      <c r="E241" s="70"/>
      <c r="F241" s="70"/>
      <c r="G241" s="70"/>
      <c r="H241" s="70"/>
      <c r="I241" s="70"/>
      <c r="J241" s="70"/>
    </row>
    <row r="242" spans="1:14">
      <c r="A242" s="71" t="s">
        <v>314</v>
      </c>
      <c r="B242" s="71"/>
      <c r="C242" s="69"/>
      <c r="D242" s="70"/>
      <c r="E242" s="70"/>
      <c r="F242" s="70"/>
      <c r="G242" s="70"/>
      <c r="H242" s="70"/>
      <c r="I242" s="70"/>
      <c r="J242" s="70"/>
    </row>
    <row r="243" spans="1:14">
      <c r="A243" s="69" t="str">
        <f t="shared" ref="A243:A250" si="31">+A13</f>
        <v>Exotic Vegitables</v>
      </c>
      <c r="B243" s="69" t="s">
        <v>365</v>
      </c>
      <c r="C243" s="69">
        <v>2000</v>
      </c>
      <c r="D243" s="159">
        <f t="shared" ref="D243:J243" si="32">D13*$C$243*D$198</f>
        <v>0</v>
      </c>
      <c r="E243" s="159">
        <f t="shared" si="32"/>
        <v>0</v>
      </c>
      <c r="F243" s="159">
        <f t="shared" si="32"/>
        <v>0</v>
      </c>
      <c r="G243" s="159">
        <f t="shared" si="32"/>
        <v>0</v>
      </c>
      <c r="H243" s="159">
        <f t="shared" si="32"/>
        <v>0</v>
      </c>
      <c r="I243" s="159">
        <f t="shared" si="32"/>
        <v>0</v>
      </c>
      <c r="J243" s="159">
        <f t="shared" si="32"/>
        <v>0</v>
      </c>
    </row>
    <row r="244" spans="1:14">
      <c r="A244" s="69" t="str">
        <f t="shared" si="31"/>
        <v>Tomato</v>
      </c>
      <c r="B244" s="69" t="s">
        <v>365</v>
      </c>
      <c r="C244" s="69">
        <v>5000</v>
      </c>
      <c r="D244" s="159">
        <f t="shared" ref="D244:J244" si="33">D14*$C$244*D$198</f>
        <v>0</v>
      </c>
      <c r="E244" s="159">
        <f t="shared" si="33"/>
        <v>0</v>
      </c>
      <c r="F244" s="159">
        <f t="shared" si="33"/>
        <v>0</v>
      </c>
      <c r="G244" s="159">
        <f t="shared" si="33"/>
        <v>0</v>
      </c>
      <c r="H244" s="159">
        <f t="shared" si="33"/>
        <v>0</v>
      </c>
      <c r="I244" s="159">
        <f t="shared" si="33"/>
        <v>0</v>
      </c>
      <c r="J244" s="159">
        <f t="shared" si="33"/>
        <v>0</v>
      </c>
    </row>
    <row r="245" spans="1:14">
      <c r="A245" s="69" t="str">
        <f t="shared" si="31"/>
        <v>Okra</v>
      </c>
      <c r="B245" s="69" t="s">
        <v>365</v>
      </c>
      <c r="C245" s="69">
        <v>3000</v>
      </c>
      <c r="D245" s="159">
        <f t="shared" ref="D245:J245" si="34">D15*$C$245*D$198</f>
        <v>0</v>
      </c>
      <c r="E245" s="159">
        <f t="shared" si="34"/>
        <v>0</v>
      </c>
      <c r="F245" s="159">
        <f t="shared" si="34"/>
        <v>0</v>
      </c>
      <c r="G245" s="159">
        <f t="shared" si="34"/>
        <v>0</v>
      </c>
      <c r="H245" s="159">
        <f t="shared" si="34"/>
        <v>0</v>
      </c>
      <c r="I245" s="159">
        <f t="shared" si="34"/>
        <v>0</v>
      </c>
      <c r="J245" s="159">
        <f t="shared" si="34"/>
        <v>0</v>
      </c>
    </row>
    <row r="246" spans="1:14">
      <c r="A246" s="69" t="str">
        <f t="shared" si="31"/>
        <v>Chilli</v>
      </c>
      <c r="B246" s="69" t="s">
        <v>365</v>
      </c>
      <c r="C246" s="69">
        <v>4000</v>
      </c>
      <c r="D246" s="159">
        <f t="shared" ref="D246:J246" si="35">D16*$C$246*D$198</f>
        <v>0</v>
      </c>
      <c r="E246" s="159">
        <f t="shared" si="35"/>
        <v>0</v>
      </c>
      <c r="F246" s="159">
        <f t="shared" si="35"/>
        <v>0</v>
      </c>
      <c r="G246" s="159">
        <f t="shared" si="35"/>
        <v>0</v>
      </c>
      <c r="H246" s="159">
        <f t="shared" si="35"/>
        <v>0</v>
      </c>
      <c r="I246" s="159">
        <f t="shared" si="35"/>
        <v>0</v>
      </c>
      <c r="J246" s="159">
        <f t="shared" si="35"/>
        <v>0</v>
      </c>
    </row>
    <row r="247" spans="1:14">
      <c r="A247" s="69" t="str">
        <f t="shared" si="31"/>
        <v>Potato</v>
      </c>
      <c r="B247" s="69" t="s">
        <v>365</v>
      </c>
      <c r="C247" s="69">
        <v>2000</v>
      </c>
      <c r="D247" s="159">
        <f t="shared" ref="D247:J247" si="36">D17*$C$247*D$198</f>
        <v>0</v>
      </c>
      <c r="E247" s="159">
        <f t="shared" si="36"/>
        <v>0</v>
      </c>
      <c r="F247" s="159">
        <f t="shared" si="36"/>
        <v>0</v>
      </c>
      <c r="G247" s="159">
        <f t="shared" si="36"/>
        <v>0</v>
      </c>
      <c r="H247" s="159">
        <f t="shared" si="36"/>
        <v>0</v>
      </c>
      <c r="I247" s="159">
        <f t="shared" si="36"/>
        <v>0</v>
      </c>
      <c r="J247" s="159">
        <f t="shared" si="36"/>
        <v>0</v>
      </c>
    </row>
    <row r="248" spans="1:14">
      <c r="A248" s="69" t="str">
        <f t="shared" si="31"/>
        <v>Cabbage</v>
      </c>
      <c r="B248" s="69" t="s">
        <v>365</v>
      </c>
      <c r="C248" s="69">
        <v>3500</v>
      </c>
      <c r="D248" s="159">
        <f t="shared" ref="D248:J248" si="37">D18*$C$248*D$198</f>
        <v>0</v>
      </c>
      <c r="E248" s="159">
        <f t="shared" si="37"/>
        <v>0</v>
      </c>
      <c r="F248" s="159">
        <f t="shared" si="37"/>
        <v>0</v>
      </c>
      <c r="G248" s="159">
        <f t="shared" si="37"/>
        <v>0</v>
      </c>
      <c r="H248" s="159">
        <f t="shared" si="37"/>
        <v>0</v>
      </c>
      <c r="I248" s="159">
        <f t="shared" si="37"/>
        <v>0</v>
      </c>
      <c r="J248" s="159">
        <f t="shared" si="37"/>
        <v>0</v>
      </c>
    </row>
    <row r="249" spans="1:14">
      <c r="A249" s="69" t="str">
        <f t="shared" si="31"/>
        <v>Coliflower</v>
      </c>
      <c r="B249" s="69" t="s">
        <v>365</v>
      </c>
      <c r="C249" s="69">
        <v>3000</v>
      </c>
      <c r="D249" s="159">
        <f t="shared" ref="D249:J249" si="38">D19*$C$249*D$198</f>
        <v>0</v>
      </c>
      <c r="E249" s="159">
        <f t="shared" si="38"/>
        <v>0</v>
      </c>
      <c r="F249" s="159">
        <f t="shared" si="38"/>
        <v>0</v>
      </c>
      <c r="G249" s="159">
        <f t="shared" si="38"/>
        <v>0</v>
      </c>
      <c r="H249" s="159">
        <f t="shared" si="38"/>
        <v>0</v>
      </c>
      <c r="I249" s="159">
        <f t="shared" si="38"/>
        <v>0</v>
      </c>
      <c r="J249" s="159">
        <f t="shared" si="38"/>
        <v>0</v>
      </c>
    </row>
    <row r="250" spans="1:14">
      <c r="A250" s="69" t="str">
        <f t="shared" si="31"/>
        <v>Bitter Gurd</v>
      </c>
      <c r="B250" s="69" t="s">
        <v>365</v>
      </c>
      <c r="C250" s="69">
        <v>2000</v>
      </c>
      <c r="D250" s="159">
        <f t="shared" ref="D250:J250" si="39">D20*$C$250*D$198</f>
        <v>0</v>
      </c>
      <c r="E250" s="159">
        <f t="shared" si="39"/>
        <v>0</v>
      </c>
      <c r="F250" s="159">
        <f t="shared" si="39"/>
        <v>0</v>
      </c>
      <c r="G250" s="159">
        <f t="shared" si="39"/>
        <v>0</v>
      </c>
      <c r="H250" s="159">
        <f t="shared" si="39"/>
        <v>0</v>
      </c>
      <c r="I250" s="159">
        <f t="shared" si="39"/>
        <v>0</v>
      </c>
      <c r="J250" s="159">
        <f t="shared" si="39"/>
        <v>0</v>
      </c>
    </row>
    <row r="251" spans="1:14" ht="8.25" customHeight="1">
      <c r="A251" s="69"/>
      <c r="B251" s="69"/>
      <c r="C251" s="69"/>
      <c r="D251" s="159">
        <f>(D21*(1-'5.Closing Stock &amp; W Capital'!$D$18)*$C251*D$198)</f>
        <v>0</v>
      </c>
      <c r="E251" s="159">
        <f>(E21*(1-'5.Closing Stock &amp; W Capital'!$D$18)*$C251*E$198)</f>
        <v>0</v>
      </c>
      <c r="F251" s="159">
        <f>(F21*(1-'5.Closing Stock &amp; W Capital'!$D$18)*$C251*F$198)</f>
        <v>0</v>
      </c>
      <c r="G251" s="159">
        <f>(G21*(1-'5.Closing Stock &amp; W Capital'!$D$18)*$C251*G$198)</f>
        <v>0</v>
      </c>
      <c r="H251" s="159">
        <f>(H21*(1-'5.Closing Stock &amp; W Capital'!$D$18)*$C251*H$198)</f>
        <v>0</v>
      </c>
      <c r="I251" s="159">
        <f>(I21*(1-'5.Closing Stock &amp; W Capital'!$D$18)*$C251*I$198)</f>
        <v>0</v>
      </c>
      <c r="J251" s="159">
        <f>(J21*(1-'5.Closing Stock &amp; W Capital'!$D$18)*$C251*J$198)</f>
        <v>0</v>
      </c>
    </row>
    <row r="252" spans="1:14">
      <c r="A252" s="69" t="str">
        <f t="shared" ref="A252:A263" si="40">+A22</f>
        <v>Exotic Vegitables</v>
      </c>
      <c r="B252" s="69" t="s">
        <v>365</v>
      </c>
      <c r="C252" s="69">
        <v>1500</v>
      </c>
      <c r="D252" s="159">
        <f t="shared" ref="D252:J252" si="41">D22*$C$252*D$198</f>
        <v>0</v>
      </c>
      <c r="E252" s="159">
        <f t="shared" si="41"/>
        <v>0</v>
      </c>
      <c r="F252" s="159">
        <f t="shared" si="41"/>
        <v>0</v>
      </c>
      <c r="G252" s="159">
        <f t="shared" si="41"/>
        <v>0</v>
      </c>
      <c r="H252" s="159">
        <f t="shared" si="41"/>
        <v>0</v>
      </c>
      <c r="I252" s="159">
        <f t="shared" si="41"/>
        <v>0</v>
      </c>
      <c r="J252" s="159">
        <f t="shared" si="41"/>
        <v>0</v>
      </c>
      <c r="N252">
        <f>20*100</f>
        <v>2000</v>
      </c>
    </row>
    <row r="253" spans="1:14">
      <c r="A253" s="69" t="str">
        <f t="shared" si="40"/>
        <v>Tomato</v>
      </c>
      <c r="B253" s="69" t="s">
        <v>365</v>
      </c>
      <c r="C253" s="69">
        <v>2500</v>
      </c>
      <c r="D253" s="159">
        <f t="shared" ref="D253:J253" si="42">D23*$C$253*D$198</f>
        <v>0</v>
      </c>
      <c r="E253" s="159">
        <f t="shared" si="42"/>
        <v>0</v>
      </c>
      <c r="F253" s="159">
        <f t="shared" si="42"/>
        <v>0</v>
      </c>
      <c r="G253" s="159">
        <f t="shared" si="42"/>
        <v>0</v>
      </c>
      <c r="H253" s="159">
        <f t="shared" si="42"/>
        <v>0</v>
      </c>
      <c r="I253" s="159">
        <f t="shared" si="42"/>
        <v>0</v>
      </c>
      <c r="J253" s="159">
        <f t="shared" si="42"/>
        <v>0</v>
      </c>
    </row>
    <row r="254" spans="1:14">
      <c r="A254" s="69" t="str">
        <f t="shared" si="40"/>
        <v>Okra</v>
      </c>
      <c r="B254" s="69" t="s">
        <v>365</v>
      </c>
      <c r="C254" s="69">
        <v>2500</v>
      </c>
      <c r="D254" s="159">
        <f t="shared" ref="D254:J254" si="43">D24*$C$254*D$198</f>
        <v>0</v>
      </c>
      <c r="E254" s="159">
        <f t="shared" si="43"/>
        <v>0</v>
      </c>
      <c r="F254" s="159">
        <f t="shared" si="43"/>
        <v>0</v>
      </c>
      <c r="G254" s="159">
        <f t="shared" si="43"/>
        <v>0</v>
      </c>
      <c r="H254" s="159">
        <f t="shared" si="43"/>
        <v>0</v>
      </c>
      <c r="I254" s="159">
        <f t="shared" si="43"/>
        <v>0</v>
      </c>
      <c r="J254" s="159">
        <f t="shared" si="43"/>
        <v>0</v>
      </c>
    </row>
    <row r="255" spans="1:14">
      <c r="A255" s="69" t="str">
        <f t="shared" si="40"/>
        <v>Chilli</v>
      </c>
      <c r="B255" s="69" t="s">
        <v>365</v>
      </c>
      <c r="C255" s="69">
        <v>4000</v>
      </c>
      <c r="D255" s="159">
        <f t="shared" ref="D255:J255" si="44">D25*$C$255*D$198</f>
        <v>0</v>
      </c>
      <c r="E255" s="159">
        <f t="shared" si="44"/>
        <v>0</v>
      </c>
      <c r="F255" s="159">
        <f t="shared" si="44"/>
        <v>0</v>
      </c>
      <c r="G255" s="159">
        <f t="shared" si="44"/>
        <v>0</v>
      </c>
      <c r="H255" s="159">
        <f t="shared" si="44"/>
        <v>0</v>
      </c>
      <c r="I255" s="159">
        <f t="shared" si="44"/>
        <v>0</v>
      </c>
      <c r="J255" s="159">
        <f t="shared" si="44"/>
        <v>0</v>
      </c>
    </row>
    <row r="256" spans="1:14">
      <c r="A256" s="69" t="str">
        <f t="shared" si="40"/>
        <v>Brinjal</v>
      </c>
      <c r="B256" s="69" t="s">
        <v>365</v>
      </c>
      <c r="C256" s="69">
        <v>3000</v>
      </c>
      <c r="D256" s="159">
        <f t="shared" ref="D256:J256" si="45">D26*$C$256*D$198</f>
        <v>0</v>
      </c>
      <c r="E256" s="159">
        <f t="shared" si="45"/>
        <v>0</v>
      </c>
      <c r="F256" s="159">
        <f t="shared" si="45"/>
        <v>0</v>
      </c>
      <c r="G256" s="159">
        <f t="shared" si="45"/>
        <v>0</v>
      </c>
      <c r="H256" s="159">
        <f t="shared" si="45"/>
        <v>0</v>
      </c>
      <c r="I256" s="159">
        <f t="shared" si="45"/>
        <v>0</v>
      </c>
      <c r="J256" s="159">
        <f t="shared" si="45"/>
        <v>0</v>
      </c>
    </row>
    <row r="257" spans="1:12">
      <c r="A257" s="69" t="str">
        <f t="shared" si="40"/>
        <v>Ginger</v>
      </c>
      <c r="B257" s="69" t="s">
        <v>365</v>
      </c>
      <c r="C257" s="69">
        <v>3000</v>
      </c>
      <c r="D257" s="159">
        <f t="shared" ref="D257:J257" si="46">D27*$C$257*D$198</f>
        <v>0</v>
      </c>
      <c r="E257" s="159">
        <f t="shared" si="46"/>
        <v>0</v>
      </c>
      <c r="F257" s="159">
        <f t="shared" si="46"/>
        <v>0</v>
      </c>
      <c r="G257" s="159">
        <f t="shared" si="46"/>
        <v>0</v>
      </c>
      <c r="H257" s="159">
        <f t="shared" si="46"/>
        <v>0</v>
      </c>
      <c r="I257" s="159">
        <f t="shared" si="46"/>
        <v>0</v>
      </c>
      <c r="J257" s="159">
        <f t="shared" si="46"/>
        <v>0</v>
      </c>
    </row>
    <row r="258" spans="1:12" hidden="1">
      <c r="A258" s="69">
        <f t="shared" si="40"/>
        <v>0</v>
      </c>
      <c r="B258" s="69"/>
      <c r="C258" s="69"/>
      <c r="D258" s="159">
        <f>(D28*(1-'5.Closing Stock &amp; W Capital'!$D$18)*$C258*D$198)</f>
        <v>0</v>
      </c>
      <c r="E258" s="159">
        <f>(E28*(1-'5.Closing Stock &amp; W Capital'!$D$18)*$C258*E$198)</f>
        <v>0</v>
      </c>
      <c r="F258" s="159">
        <f>(F28*(1-'5.Closing Stock &amp; W Capital'!$D$18)*$C258*F$198)</f>
        <v>0</v>
      </c>
      <c r="G258" s="159">
        <f>(G28*(1-'5.Closing Stock &amp; W Capital'!$D$18)*$C258*G$198)</f>
        <v>0</v>
      </c>
      <c r="H258" s="159">
        <f>(H28*(1-'5.Closing Stock &amp; W Capital'!$D$18)*$C258*H$198)</f>
        <v>0</v>
      </c>
      <c r="I258" s="159">
        <f>(I28*(1-'5.Closing Stock &amp; W Capital'!$D$18)*$C258*I$198)</f>
        <v>0</v>
      </c>
      <c r="J258" s="159">
        <f>(J28*(1-'5.Closing Stock &amp; W Capital'!$D$18)*$C258*J$198)</f>
        <v>0</v>
      </c>
    </row>
    <row r="259" spans="1:12" ht="6.75" customHeight="1">
      <c r="A259" s="69">
        <f t="shared" si="40"/>
        <v>0</v>
      </c>
      <c r="B259" s="69"/>
      <c r="C259" s="69"/>
      <c r="D259" s="159">
        <f>(D29*(1-'5.Closing Stock &amp; W Capital'!$D$18)*$C259*D$198)</f>
        <v>0</v>
      </c>
      <c r="E259" s="159">
        <f>(E29*(1-'5.Closing Stock &amp; W Capital'!$D$18)*$C259*E$198)</f>
        <v>0</v>
      </c>
      <c r="F259" s="159">
        <f>(F29*(1-'5.Closing Stock &amp; W Capital'!$D$18)*$C259*F$198)</f>
        <v>0</v>
      </c>
      <c r="G259" s="159">
        <f>(G29*(1-'5.Closing Stock &amp; W Capital'!$D$18)*$C259*G$198)</f>
        <v>0</v>
      </c>
      <c r="H259" s="159">
        <f>(H29*(1-'5.Closing Stock &amp; W Capital'!$D$18)*$C259*H$198)</f>
        <v>0</v>
      </c>
      <c r="I259" s="159">
        <f>(I29*(1-'5.Closing Stock &amp; W Capital'!$D$18)*$C259*I$198)</f>
        <v>0</v>
      </c>
      <c r="J259" s="159">
        <f>(J29*(1-'5.Closing Stock &amp; W Capital'!$D$18)*$C259*J$198)</f>
        <v>0</v>
      </c>
    </row>
    <row r="260" spans="1:12">
      <c r="A260" s="69" t="str">
        <f t="shared" si="40"/>
        <v>Spinach</v>
      </c>
      <c r="B260" s="69" t="s">
        <v>365</v>
      </c>
      <c r="C260" s="69">
        <v>1500</v>
      </c>
      <c r="D260" s="159">
        <f t="shared" ref="D260:J260" si="47">D30*$C$260*D$198</f>
        <v>0</v>
      </c>
      <c r="E260" s="159">
        <f t="shared" si="47"/>
        <v>0</v>
      </c>
      <c r="F260" s="159">
        <f t="shared" si="47"/>
        <v>0</v>
      </c>
      <c r="G260" s="159">
        <f t="shared" si="47"/>
        <v>0</v>
      </c>
      <c r="H260" s="159">
        <f t="shared" si="47"/>
        <v>0</v>
      </c>
      <c r="I260" s="159">
        <f t="shared" si="47"/>
        <v>0</v>
      </c>
      <c r="J260" s="159">
        <f t="shared" si="47"/>
        <v>0</v>
      </c>
    </row>
    <row r="261" spans="1:12">
      <c r="A261" s="69" t="str">
        <f t="shared" si="40"/>
        <v>Fenugreek</v>
      </c>
      <c r="B261" s="69" t="s">
        <v>365</v>
      </c>
      <c r="C261" s="69">
        <v>1000</v>
      </c>
      <c r="D261" s="159">
        <f t="shared" ref="D261:J261" si="48">D31*$C$261*D$198</f>
        <v>0</v>
      </c>
      <c r="E261" s="159">
        <f t="shared" si="48"/>
        <v>0</v>
      </c>
      <c r="F261" s="159">
        <f t="shared" si="48"/>
        <v>0</v>
      </c>
      <c r="G261" s="159">
        <f t="shared" si="48"/>
        <v>0</v>
      </c>
      <c r="H261" s="159">
        <f t="shared" si="48"/>
        <v>0</v>
      </c>
      <c r="I261" s="159">
        <f t="shared" si="48"/>
        <v>0</v>
      </c>
      <c r="J261" s="159">
        <f t="shared" si="48"/>
        <v>0</v>
      </c>
    </row>
    <row r="262" spans="1:12">
      <c r="A262" s="69" t="str">
        <f t="shared" si="40"/>
        <v>coriander</v>
      </c>
      <c r="B262" s="69" t="s">
        <v>365</v>
      </c>
      <c r="C262" s="69">
        <v>2500</v>
      </c>
      <c r="D262" s="159">
        <f t="shared" ref="D262:J262" si="49">D32*$C$262*D$198</f>
        <v>0</v>
      </c>
      <c r="E262" s="159">
        <f t="shared" si="49"/>
        <v>0</v>
      </c>
      <c r="F262" s="159">
        <f t="shared" si="49"/>
        <v>0</v>
      </c>
      <c r="G262" s="159">
        <f t="shared" si="49"/>
        <v>0</v>
      </c>
      <c r="H262" s="159">
        <f t="shared" si="49"/>
        <v>0</v>
      </c>
      <c r="I262" s="159">
        <f t="shared" si="49"/>
        <v>0</v>
      </c>
      <c r="J262" s="159">
        <f t="shared" si="49"/>
        <v>0</v>
      </c>
    </row>
    <row r="263" spans="1:12">
      <c r="A263" s="69" t="str">
        <f t="shared" si="40"/>
        <v>Shepu</v>
      </c>
      <c r="B263" s="69" t="s">
        <v>365</v>
      </c>
      <c r="C263" s="69">
        <v>1200</v>
      </c>
      <c r="D263" s="159">
        <f t="shared" ref="D263:J263" si="50">D33*$C$263*D$198</f>
        <v>0</v>
      </c>
      <c r="E263" s="159">
        <f t="shared" si="50"/>
        <v>0</v>
      </c>
      <c r="F263" s="159">
        <f t="shared" si="50"/>
        <v>0</v>
      </c>
      <c r="G263" s="159">
        <f t="shared" si="50"/>
        <v>0</v>
      </c>
      <c r="H263" s="159">
        <f t="shared" si="50"/>
        <v>0</v>
      </c>
      <c r="I263" s="159">
        <f t="shared" si="50"/>
        <v>0</v>
      </c>
      <c r="J263" s="159">
        <f t="shared" si="50"/>
        <v>0</v>
      </c>
    </row>
    <row r="264" spans="1:12" ht="8.25" customHeight="1">
      <c r="A264" s="69"/>
      <c r="B264" s="69"/>
      <c r="C264" s="69"/>
      <c r="D264" s="159">
        <f>(D34*(1-'5.Closing Stock &amp; W Capital'!$D$18)*$C264*D$198)</f>
        <v>0</v>
      </c>
      <c r="E264" s="159">
        <f>(E34*(1-'5.Closing Stock &amp; W Capital'!$D$18)*$C264*E$198)</f>
        <v>0</v>
      </c>
      <c r="F264" s="159">
        <f>(F34*(1-'5.Closing Stock &amp; W Capital'!$D$18)*$C264*F$198)</f>
        <v>0</v>
      </c>
      <c r="G264" s="159">
        <f>(G34*(1-'5.Closing Stock &amp; W Capital'!$D$18)*$C264*G$198)</f>
        <v>0</v>
      </c>
      <c r="H264" s="159">
        <f>(H34*(1-'5.Closing Stock &amp; W Capital'!$D$18)*$C264*H$198)</f>
        <v>0</v>
      </c>
      <c r="I264" s="159">
        <f>(I34*(1-'5.Closing Stock &amp; W Capital'!$D$18)*$C264*I$198)</f>
        <v>0</v>
      </c>
      <c r="J264" s="159">
        <f>(J34*(1-'5.Closing Stock &amp; W Capital'!$D$18)*$C264*J$198)</f>
        <v>0</v>
      </c>
    </row>
    <row r="265" spans="1:12">
      <c r="A265" s="69" t="str">
        <f t="shared" ref="A265:A271" si="51">+A35</f>
        <v>Pomegranate</v>
      </c>
      <c r="B265" s="69" t="s">
        <v>365</v>
      </c>
      <c r="C265" s="69">
        <v>5000</v>
      </c>
      <c r="D265" s="159">
        <f t="shared" ref="D265:J265" si="52">D35*$C$265*D$198</f>
        <v>0</v>
      </c>
      <c r="E265" s="159">
        <f t="shared" si="52"/>
        <v>0</v>
      </c>
      <c r="F265" s="159">
        <f t="shared" si="52"/>
        <v>0</v>
      </c>
      <c r="G265" s="159">
        <f t="shared" si="52"/>
        <v>0</v>
      </c>
      <c r="H265" s="159">
        <f t="shared" si="52"/>
        <v>0</v>
      </c>
      <c r="I265" s="159">
        <f t="shared" si="52"/>
        <v>0</v>
      </c>
      <c r="J265" s="159">
        <f t="shared" si="52"/>
        <v>0</v>
      </c>
      <c r="L265">
        <v>8000</v>
      </c>
    </row>
    <row r="266" spans="1:12">
      <c r="A266" s="69" t="str">
        <f t="shared" si="51"/>
        <v>Banana</v>
      </c>
      <c r="B266" s="69" t="s">
        <v>365</v>
      </c>
      <c r="C266" s="69">
        <v>5000</v>
      </c>
      <c r="D266" s="159">
        <f t="shared" ref="D266:J266" si="53">D36*$C$266*D$198</f>
        <v>0</v>
      </c>
      <c r="E266" s="159">
        <f t="shared" si="53"/>
        <v>0</v>
      </c>
      <c r="F266" s="159">
        <f t="shared" si="53"/>
        <v>0</v>
      </c>
      <c r="G266" s="159">
        <f t="shared" si="53"/>
        <v>0</v>
      </c>
      <c r="H266" s="159">
        <f t="shared" si="53"/>
        <v>0</v>
      </c>
      <c r="I266" s="159">
        <f t="shared" si="53"/>
        <v>0</v>
      </c>
      <c r="J266" s="159">
        <f t="shared" si="53"/>
        <v>0</v>
      </c>
      <c r="L266" s="555">
        <f>+L265/30</f>
        <v>266.66666666666669</v>
      </c>
    </row>
    <row r="267" spans="1:12">
      <c r="A267" s="69" t="str">
        <f t="shared" si="51"/>
        <v>Graps</v>
      </c>
      <c r="B267" s="69" t="s">
        <v>365</v>
      </c>
      <c r="C267" s="69">
        <v>5000</v>
      </c>
      <c r="D267" s="159">
        <f t="shared" ref="D267:J267" si="54">D37*$C$267*D$198</f>
        <v>0</v>
      </c>
      <c r="E267" s="159">
        <f t="shared" si="54"/>
        <v>0</v>
      </c>
      <c r="F267" s="159">
        <f t="shared" si="54"/>
        <v>0</v>
      </c>
      <c r="G267" s="159">
        <f t="shared" si="54"/>
        <v>0</v>
      </c>
      <c r="H267" s="159">
        <f t="shared" si="54"/>
        <v>0</v>
      </c>
      <c r="I267" s="159">
        <f t="shared" si="54"/>
        <v>0</v>
      </c>
      <c r="J267" s="159">
        <f t="shared" si="54"/>
        <v>0</v>
      </c>
    </row>
    <row r="268" spans="1:12">
      <c r="A268" s="69" t="str">
        <f t="shared" si="51"/>
        <v>Mango</v>
      </c>
      <c r="B268" s="69" t="s">
        <v>365</v>
      </c>
      <c r="C268" s="69">
        <v>3800</v>
      </c>
      <c r="D268" s="159">
        <f t="shared" ref="D268:J268" si="55">D38*$C$268*D$198</f>
        <v>0</v>
      </c>
      <c r="E268" s="159">
        <f t="shared" si="55"/>
        <v>0</v>
      </c>
      <c r="F268" s="159">
        <f t="shared" si="55"/>
        <v>0</v>
      </c>
      <c r="G268" s="159">
        <f t="shared" si="55"/>
        <v>0</v>
      </c>
      <c r="H268" s="159">
        <f t="shared" si="55"/>
        <v>0</v>
      </c>
      <c r="I268" s="159">
        <f t="shared" si="55"/>
        <v>0</v>
      </c>
      <c r="J268" s="159">
        <f t="shared" si="55"/>
        <v>0</v>
      </c>
    </row>
    <row r="269" spans="1:12">
      <c r="A269" s="69" t="str">
        <f t="shared" si="51"/>
        <v>Citrus</v>
      </c>
      <c r="B269" s="69" t="s">
        <v>365</v>
      </c>
      <c r="C269" s="69">
        <v>5000</v>
      </c>
      <c r="D269" s="159">
        <f t="shared" ref="D269:J269" si="56">D39*$C$269*D$198</f>
        <v>0</v>
      </c>
      <c r="E269" s="159">
        <f t="shared" si="56"/>
        <v>0</v>
      </c>
      <c r="F269" s="159">
        <f t="shared" si="56"/>
        <v>0</v>
      </c>
      <c r="G269" s="159">
        <f t="shared" si="56"/>
        <v>0</v>
      </c>
      <c r="H269" s="159">
        <f t="shared" si="56"/>
        <v>0</v>
      </c>
      <c r="I269" s="159">
        <f t="shared" si="56"/>
        <v>0</v>
      </c>
      <c r="J269" s="159">
        <f t="shared" si="56"/>
        <v>0</v>
      </c>
    </row>
    <row r="270" spans="1:12" hidden="1">
      <c r="A270" s="69">
        <f t="shared" si="51"/>
        <v>0</v>
      </c>
      <c r="B270" s="69"/>
      <c r="C270" s="159"/>
      <c r="D270" s="159"/>
      <c r="E270" s="159"/>
      <c r="F270" s="159"/>
      <c r="G270" s="159"/>
      <c r="H270" s="159"/>
      <c r="I270" s="159"/>
      <c r="J270" s="159"/>
    </row>
    <row r="271" spans="1:12" hidden="1">
      <c r="A271" s="69" t="str">
        <f t="shared" si="51"/>
        <v>Total Quantity to be Processed</v>
      </c>
      <c r="B271" s="69"/>
      <c r="C271" s="159"/>
      <c r="D271" s="70"/>
      <c r="E271" s="70"/>
      <c r="F271" s="70"/>
      <c r="G271" s="70"/>
      <c r="H271" s="70"/>
      <c r="I271" s="70"/>
      <c r="J271" s="70"/>
    </row>
    <row r="272" spans="1:12" hidden="1">
      <c r="A272" s="69"/>
      <c r="B272" s="69"/>
      <c r="C272" s="159"/>
      <c r="D272" s="70"/>
      <c r="E272" s="70"/>
      <c r="F272" s="70"/>
      <c r="G272" s="70"/>
      <c r="H272" s="70"/>
      <c r="I272" s="70"/>
      <c r="J272" s="70"/>
    </row>
    <row r="273" spans="1:12" hidden="1">
      <c r="A273" s="69" t="str">
        <f>+A43</f>
        <v>Quanity for Processing and Trading for PC</v>
      </c>
      <c r="B273" s="69"/>
      <c r="C273" s="159"/>
      <c r="D273" s="70"/>
      <c r="E273" s="70"/>
      <c r="F273" s="70"/>
      <c r="G273" s="70"/>
      <c r="H273" s="70"/>
      <c r="I273" s="70"/>
      <c r="J273" s="70"/>
    </row>
    <row r="274" spans="1:12" hidden="1">
      <c r="A274" s="69"/>
      <c r="B274" s="69"/>
      <c r="C274" s="159"/>
      <c r="D274" s="70"/>
      <c r="E274" s="70"/>
      <c r="F274" s="70"/>
      <c r="G274" s="70"/>
      <c r="H274" s="70"/>
      <c r="I274" s="70"/>
      <c r="J274" s="70"/>
    </row>
    <row r="275" spans="1:12" ht="7.5" customHeight="1">
      <c r="A275" s="69"/>
      <c r="B275" s="69"/>
      <c r="C275" s="69"/>
      <c r="D275" s="70">
        <f t="shared" ref="D275:J275" si="57">(B64*10%)*$C275*D$198</f>
        <v>0</v>
      </c>
      <c r="E275" s="70">
        <f t="shared" si="57"/>
        <v>0</v>
      </c>
      <c r="F275" s="70">
        <f t="shared" si="57"/>
        <v>0</v>
      </c>
      <c r="G275" s="70">
        <f t="shared" si="57"/>
        <v>0</v>
      </c>
      <c r="H275" s="70">
        <f t="shared" si="57"/>
        <v>0</v>
      </c>
      <c r="I275" s="70">
        <f t="shared" si="57"/>
        <v>0</v>
      </c>
      <c r="J275" s="70">
        <f t="shared" si="57"/>
        <v>0</v>
      </c>
    </row>
    <row r="276" spans="1:12">
      <c r="A276" s="69" t="s">
        <v>324</v>
      </c>
      <c r="B276" s="69">
        <v>40</v>
      </c>
      <c r="C276" s="69">
        <v>400</v>
      </c>
      <c r="D276" s="70">
        <f t="shared" ref="D276:J276" si="58">D12*$B$276*$C$276*D198</f>
        <v>0</v>
      </c>
      <c r="E276" s="70">
        <f t="shared" si="58"/>
        <v>0</v>
      </c>
      <c r="F276" s="70">
        <f t="shared" si="58"/>
        <v>0</v>
      </c>
      <c r="G276" s="70">
        <f t="shared" si="58"/>
        <v>0</v>
      </c>
      <c r="H276" s="70">
        <f t="shared" si="58"/>
        <v>0</v>
      </c>
      <c r="I276" s="70">
        <f t="shared" si="58"/>
        <v>0</v>
      </c>
      <c r="J276" s="70">
        <f t="shared" si="58"/>
        <v>0</v>
      </c>
      <c r="L276" s="555">
        <f>400*30</f>
        <v>12000</v>
      </c>
    </row>
    <row r="277" spans="1:12" hidden="1">
      <c r="A277" s="69" t="s">
        <v>324</v>
      </c>
      <c r="B277" s="69">
        <v>16</v>
      </c>
      <c r="C277" s="69">
        <v>0</v>
      </c>
      <c r="D277" s="70">
        <f>$B$277*$C$277*12*D198</f>
        <v>0</v>
      </c>
      <c r="E277" s="70">
        <f t="shared" ref="E277:J277" si="59">$B$277*$C$277*12*E198</f>
        <v>0</v>
      </c>
      <c r="F277" s="70">
        <f t="shared" si="59"/>
        <v>0</v>
      </c>
      <c r="G277" s="70">
        <f t="shared" si="59"/>
        <v>0</v>
      </c>
      <c r="H277" s="70">
        <f t="shared" si="59"/>
        <v>0</v>
      </c>
      <c r="I277" s="70">
        <f t="shared" si="59"/>
        <v>0</v>
      </c>
      <c r="J277" s="70">
        <f t="shared" si="59"/>
        <v>0</v>
      </c>
      <c r="L277" s="452"/>
    </row>
    <row r="278" spans="1:12">
      <c r="A278" s="69" t="s">
        <v>144</v>
      </c>
      <c r="B278" s="69">
        <f>(25*8)+(480)</f>
        <v>680</v>
      </c>
      <c r="C278" s="69">
        <v>9</v>
      </c>
      <c r="D278" s="70">
        <f t="shared" ref="D278:J278" si="60">$B$278*$C$278*D12*D198</f>
        <v>0</v>
      </c>
      <c r="E278" s="70">
        <f t="shared" si="60"/>
        <v>0</v>
      </c>
      <c r="F278" s="70">
        <f t="shared" si="60"/>
        <v>0</v>
      </c>
      <c r="G278" s="70">
        <f t="shared" si="60"/>
        <v>0</v>
      </c>
      <c r="H278" s="70">
        <f t="shared" si="60"/>
        <v>0</v>
      </c>
      <c r="I278" s="70">
        <f t="shared" si="60"/>
        <v>0</v>
      </c>
      <c r="J278" s="70">
        <f t="shared" si="60"/>
        <v>0</v>
      </c>
    </row>
    <row r="279" spans="1:12">
      <c r="A279" s="69" t="s">
        <v>297</v>
      </c>
      <c r="B279" s="69" t="s">
        <v>365</v>
      </c>
      <c r="C279" s="69">
        <v>20</v>
      </c>
      <c r="D279" s="70">
        <f t="shared" ref="D279:J279" si="61">D41*$C279*D$198</f>
        <v>0</v>
      </c>
      <c r="E279" s="70">
        <f t="shared" si="61"/>
        <v>0</v>
      </c>
      <c r="F279" s="70">
        <f t="shared" si="61"/>
        <v>0</v>
      </c>
      <c r="G279" s="70">
        <f t="shared" si="61"/>
        <v>0</v>
      </c>
      <c r="H279" s="70">
        <f t="shared" si="61"/>
        <v>0</v>
      </c>
      <c r="I279" s="70">
        <f t="shared" si="61"/>
        <v>0</v>
      </c>
      <c r="J279" s="70">
        <f t="shared" si="61"/>
        <v>0</v>
      </c>
    </row>
    <row r="280" spans="1:12">
      <c r="A280" s="81" t="s">
        <v>298</v>
      </c>
      <c r="B280" s="81"/>
      <c r="C280" s="81">
        <v>150</v>
      </c>
      <c r="D280" s="70">
        <f t="shared" ref="D280:J280" si="62">D41*$C280*D$198</f>
        <v>0</v>
      </c>
      <c r="E280" s="70">
        <f t="shared" si="62"/>
        <v>0</v>
      </c>
      <c r="F280" s="70">
        <f t="shared" si="62"/>
        <v>0</v>
      </c>
      <c r="G280" s="70">
        <f t="shared" si="62"/>
        <v>0</v>
      </c>
      <c r="H280" s="70">
        <f t="shared" si="62"/>
        <v>0</v>
      </c>
      <c r="I280" s="70">
        <f t="shared" si="62"/>
        <v>0</v>
      </c>
      <c r="J280" s="70">
        <f t="shared" si="62"/>
        <v>0</v>
      </c>
    </row>
    <row r="281" spans="1:12">
      <c r="A281" s="69" t="s">
        <v>299</v>
      </c>
      <c r="B281" s="69"/>
      <c r="C281" s="69">
        <v>200</v>
      </c>
      <c r="D281" s="70">
        <f t="shared" ref="D281:J281" si="63">D41*$C281*D$198</f>
        <v>0</v>
      </c>
      <c r="E281" s="70">
        <f t="shared" si="63"/>
        <v>0</v>
      </c>
      <c r="F281" s="70">
        <f t="shared" si="63"/>
        <v>0</v>
      </c>
      <c r="G281" s="70">
        <f t="shared" si="63"/>
        <v>0</v>
      </c>
      <c r="H281" s="70">
        <f t="shared" si="63"/>
        <v>0</v>
      </c>
      <c r="I281" s="70">
        <f t="shared" si="63"/>
        <v>0</v>
      </c>
      <c r="J281" s="70">
        <f t="shared" si="63"/>
        <v>0</v>
      </c>
    </row>
    <row r="282" spans="1:12">
      <c r="A282" s="9" t="s">
        <v>1733</v>
      </c>
      <c r="B282" s="69" t="s">
        <v>365</v>
      </c>
      <c r="C282" s="9">
        <v>15</v>
      </c>
      <c r="D282" s="70">
        <f t="shared" ref="D282:J282" si="64">D41*$C282*D$198</f>
        <v>0</v>
      </c>
      <c r="E282" s="70">
        <f t="shared" si="64"/>
        <v>0</v>
      </c>
      <c r="F282" s="70">
        <f t="shared" si="64"/>
        <v>0</v>
      </c>
      <c r="G282" s="70">
        <f t="shared" si="64"/>
        <v>0</v>
      </c>
      <c r="H282" s="70">
        <f t="shared" si="64"/>
        <v>0</v>
      </c>
      <c r="I282" s="70">
        <f t="shared" si="64"/>
        <v>0</v>
      </c>
      <c r="J282" s="70">
        <f t="shared" si="64"/>
        <v>0</v>
      </c>
    </row>
    <row r="283" spans="1:12">
      <c r="A283" s="9"/>
      <c r="B283" s="9"/>
      <c r="C283" s="9"/>
      <c r="D283" s="9"/>
      <c r="E283" s="9"/>
      <c r="F283" s="9"/>
      <c r="G283" s="9"/>
      <c r="H283" s="9"/>
      <c r="I283" s="9"/>
      <c r="J283" s="9"/>
    </row>
    <row r="284" spans="1:12" hidden="1">
      <c r="A284" s="9"/>
      <c r="B284" s="9"/>
      <c r="C284" s="9"/>
      <c r="D284" s="9"/>
      <c r="E284" s="9"/>
      <c r="F284" s="9"/>
      <c r="G284" s="9"/>
      <c r="H284" s="9"/>
      <c r="I284" s="9"/>
      <c r="J284" s="9"/>
    </row>
    <row r="285" spans="1:12" hidden="1">
      <c r="A285" s="9"/>
      <c r="B285" s="9"/>
      <c r="C285" s="9"/>
      <c r="D285" s="9"/>
      <c r="E285" s="9"/>
      <c r="F285" s="9"/>
      <c r="G285" s="9"/>
      <c r="H285" s="9"/>
      <c r="I285" s="9"/>
      <c r="J285" s="9"/>
    </row>
    <row r="286" spans="1:12">
      <c r="A286" s="159" t="s">
        <v>347</v>
      </c>
      <c r="B286" s="70"/>
      <c r="C286" s="70"/>
      <c r="D286" s="70"/>
      <c r="E286" s="70">
        <f>'5.Closing Stock &amp; W Capital'!F9</f>
        <v>0</v>
      </c>
      <c r="F286" s="70">
        <f>'5.Closing Stock &amp; W Capital'!G9</f>
        <v>0</v>
      </c>
      <c r="G286" s="70">
        <f>'5.Closing Stock &amp; W Capital'!H9</f>
        <v>0</v>
      </c>
      <c r="H286" s="70">
        <f>'5.Closing Stock &amp; W Capital'!I9</f>
        <v>0</v>
      </c>
      <c r="I286" s="70">
        <f>'5.Closing Stock &amp; W Capital'!J9</f>
        <v>0</v>
      </c>
      <c r="J286" s="70">
        <f>'5.Closing Stock &amp; W Capital'!K9</f>
        <v>0</v>
      </c>
    </row>
    <row r="287" spans="1:12">
      <c r="A287" s="159" t="s">
        <v>348</v>
      </c>
      <c r="B287" s="70"/>
      <c r="C287" s="70"/>
      <c r="D287" s="70">
        <f>'5.Closing Stock &amp; W Capital'!E18</f>
        <v>0</v>
      </c>
      <c r="E287" s="70">
        <f>'5.Closing Stock &amp; W Capital'!F18</f>
        <v>0</v>
      </c>
      <c r="F287" s="70">
        <f>'5.Closing Stock &amp; W Capital'!G18</f>
        <v>0</v>
      </c>
      <c r="G287" s="70">
        <f>'5.Closing Stock &amp; W Capital'!H18</f>
        <v>0</v>
      </c>
      <c r="H287" s="70">
        <f>'5.Closing Stock &amp; W Capital'!I18</f>
        <v>0</v>
      </c>
      <c r="I287" s="70">
        <f>'5.Closing Stock &amp; W Capital'!J18</f>
        <v>0</v>
      </c>
      <c r="J287" s="70">
        <f>'5.Closing Stock &amp; W Capital'!K18</f>
        <v>0</v>
      </c>
    </row>
    <row r="288" spans="1:12">
      <c r="A288" s="70"/>
      <c r="B288" s="70"/>
      <c r="C288" s="70"/>
      <c r="D288" s="70"/>
      <c r="E288" s="70"/>
      <c r="F288" s="70"/>
      <c r="G288" s="70"/>
      <c r="H288" s="70"/>
      <c r="I288" s="70"/>
      <c r="J288" s="70"/>
    </row>
    <row r="289" spans="1:12">
      <c r="A289" s="87" t="s">
        <v>325</v>
      </c>
      <c r="B289" s="70"/>
      <c r="C289" s="70"/>
      <c r="D289" s="87">
        <f t="shared" ref="D289:J289" si="65">SUM(D243:D286)-D287</f>
        <v>0</v>
      </c>
      <c r="E289" s="87">
        <f>SUM(E243:E286)-E287</f>
        <v>0</v>
      </c>
      <c r="F289" s="87">
        <f t="shared" si="65"/>
        <v>0</v>
      </c>
      <c r="G289" s="87">
        <f t="shared" si="65"/>
        <v>0</v>
      </c>
      <c r="H289" s="87">
        <f t="shared" si="65"/>
        <v>0</v>
      </c>
      <c r="I289" s="87">
        <f t="shared" si="65"/>
        <v>0</v>
      </c>
      <c r="J289" s="87">
        <f t="shared" si="65"/>
        <v>0</v>
      </c>
    </row>
    <row r="290" spans="1:12">
      <c r="A290" s="119" t="s">
        <v>0</v>
      </c>
      <c r="B290" s="119" t="s">
        <v>132</v>
      </c>
      <c r="C290" s="119" t="s">
        <v>153</v>
      </c>
      <c r="D290" s="91" t="s">
        <v>2</v>
      </c>
      <c r="E290" s="91" t="s">
        <v>3</v>
      </c>
      <c r="F290" s="91" t="s">
        <v>4</v>
      </c>
      <c r="G290" s="91" t="s">
        <v>5</v>
      </c>
      <c r="H290" s="91" t="s">
        <v>6</v>
      </c>
      <c r="I290" s="91" t="s">
        <v>170</v>
      </c>
      <c r="J290" s="91" t="s">
        <v>169</v>
      </c>
    </row>
    <row r="291" spans="1:12">
      <c r="A291" s="160" t="s">
        <v>312</v>
      </c>
      <c r="B291" s="160"/>
      <c r="C291" s="160"/>
      <c r="D291" s="87"/>
      <c r="E291" s="87"/>
      <c r="F291" s="87"/>
      <c r="G291" s="87"/>
      <c r="H291" s="87"/>
      <c r="I291" s="87"/>
      <c r="J291" s="87"/>
    </row>
    <row r="292" spans="1:12">
      <c r="A292" s="69" t="s">
        <v>1655</v>
      </c>
      <c r="B292" s="81">
        <v>1</v>
      </c>
      <c r="C292" s="648"/>
      <c r="D292" s="70">
        <f>$B$292*$C$292*12*D198</f>
        <v>0</v>
      </c>
      <c r="E292" s="70">
        <f t="shared" ref="E292:J292" si="66">$B$292*$C$292*12*E198</f>
        <v>0</v>
      </c>
      <c r="F292" s="70">
        <f t="shared" si="66"/>
        <v>0</v>
      </c>
      <c r="G292" s="70">
        <f t="shared" si="66"/>
        <v>0</v>
      </c>
      <c r="H292" s="70">
        <f t="shared" si="66"/>
        <v>0</v>
      </c>
      <c r="I292" s="70">
        <f t="shared" si="66"/>
        <v>0</v>
      </c>
      <c r="J292" s="70">
        <f t="shared" si="66"/>
        <v>0</v>
      </c>
      <c r="L292" s="555"/>
    </row>
    <row r="293" spans="1:12">
      <c r="A293" s="69" t="s">
        <v>1620</v>
      </c>
      <c r="B293" s="69">
        <v>1</v>
      </c>
      <c r="C293" s="159"/>
      <c r="D293" s="70">
        <f t="shared" ref="D293:J293" si="67">$B$293*$C$293*12*D198</f>
        <v>0</v>
      </c>
      <c r="E293" s="70">
        <f t="shared" si="67"/>
        <v>0</v>
      </c>
      <c r="F293" s="70">
        <f t="shared" si="67"/>
        <v>0</v>
      </c>
      <c r="G293" s="70">
        <f t="shared" si="67"/>
        <v>0</v>
      </c>
      <c r="H293" s="70">
        <f t="shared" si="67"/>
        <v>0</v>
      </c>
      <c r="I293" s="70">
        <f t="shared" si="67"/>
        <v>0</v>
      </c>
      <c r="J293" s="70">
        <f t="shared" si="67"/>
        <v>0</v>
      </c>
    </row>
    <row r="294" spans="1:12">
      <c r="A294" s="69" t="s">
        <v>1656</v>
      </c>
      <c r="B294" s="69">
        <v>1</v>
      </c>
      <c r="C294" s="159"/>
      <c r="D294" s="70">
        <f>$B$294*$C$294*12*D198</f>
        <v>0</v>
      </c>
      <c r="E294" s="70">
        <f t="shared" ref="E294:J294" si="68">$B$294*$C$294*12*E198</f>
        <v>0</v>
      </c>
      <c r="F294" s="70">
        <f t="shared" si="68"/>
        <v>0</v>
      </c>
      <c r="G294" s="70">
        <f t="shared" si="68"/>
        <v>0</v>
      </c>
      <c r="H294" s="70">
        <f t="shared" si="68"/>
        <v>0</v>
      </c>
      <c r="I294" s="70">
        <f t="shared" si="68"/>
        <v>0</v>
      </c>
      <c r="J294" s="70">
        <f t="shared" si="68"/>
        <v>0</v>
      </c>
    </row>
    <row r="295" spans="1:12">
      <c r="A295" s="69" t="s">
        <v>1657</v>
      </c>
      <c r="B295" s="69">
        <v>4</v>
      </c>
      <c r="C295" s="159"/>
      <c r="D295" s="70">
        <f>$B$295*$C$295*12*D198</f>
        <v>0</v>
      </c>
      <c r="E295" s="70">
        <f t="shared" ref="E295:J295" si="69">$B$295*$C$295*12*E198</f>
        <v>0</v>
      </c>
      <c r="F295" s="70">
        <f t="shared" si="69"/>
        <v>0</v>
      </c>
      <c r="G295" s="70">
        <f t="shared" si="69"/>
        <v>0</v>
      </c>
      <c r="H295" s="70">
        <f t="shared" si="69"/>
        <v>0</v>
      </c>
      <c r="I295" s="70">
        <f t="shared" si="69"/>
        <v>0</v>
      </c>
      <c r="J295" s="70">
        <f t="shared" si="69"/>
        <v>0</v>
      </c>
    </row>
    <row r="296" spans="1:12">
      <c r="A296" s="69" t="s">
        <v>1659</v>
      </c>
      <c r="B296" s="69">
        <v>1</v>
      </c>
      <c r="C296" s="159"/>
      <c r="D296" s="70">
        <f>$B$296*$C$296*12*D198</f>
        <v>0</v>
      </c>
      <c r="E296" s="70">
        <f t="shared" ref="E296:J296" si="70">$B$296*$C$296*12*E198</f>
        <v>0</v>
      </c>
      <c r="F296" s="70">
        <f t="shared" si="70"/>
        <v>0</v>
      </c>
      <c r="G296" s="70">
        <f t="shared" si="70"/>
        <v>0</v>
      </c>
      <c r="H296" s="70">
        <f t="shared" si="70"/>
        <v>0</v>
      </c>
      <c r="I296" s="70">
        <f t="shared" si="70"/>
        <v>0</v>
      </c>
      <c r="J296" s="70">
        <f t="shared" si="70"/>
        <v>0</v>
      </c>
    </row>
    <row r="297" spans="1:12">
      <c r="A297" s="69" t="s">
        <v>193</v>
      </c>
      <c r="B297" s="69">
        <v>10</v>
      </c>
      <c r="C297" s="159"/>
      <c r="D297" s="70">
        <f t="shared" ref="D297:J297" si="71">$B$297*$C$297*12*D198</f>
        <v>0</v>
      </c>
      <c r="E297" s="70">
        <f t="shared" si="71"/>
        <v>0</v>
      </c>
      <c r="F297" s="70">
        <f t="shared" si="71"/>
        <v>0</v>
      </c>
      <c r="G297" s="70">
        <f t="shared" si="71"/>
        <v>0</v>
      </c>
      <c r="H297" s="70">
        <f t="shared" si="71"/>
        <v>0</v>
      </c>
      <c r="I297" s="70">
        <f t="shared" si="71"/>
        <v>0</v>
      </c>
      <c r="J297" s="70">
        <f t="shared" si="71"/>
        <v>0</v>
      </c>
    </row>
    <row r="298" spans="1:12">
      <c r="A298" s="69" t="s">
        <v>313</v>
      </c>
      <c r="B298" s="69">
        <v>4</v>
      </c>
      <c r="C298" s="159"/>
      <c r="D298" s="70">
        <f t="shared" ref="D298:J298" si="72">$B$298*$C$298*12*D198</f>
        <v>0</v>
      </c>
      <c r="E298" s="70">
        <f t="shared" si="72"/>
        <v>0</v>
      </c>
      <c r="F298" s="70">
        <f t="shared" si="72"/>
        <v>0</v>
      </c>
      <c r="G298" s="70">
        <f t="shared" si="72"/>
        <v>0</v>
      </c>
      <c r="H298" s="70">
        <f t="shared" si="72"/>
        <v>0</v>
      </c>
      <c r="I298" s="70">
        <f t="shared" si="72"/>
        <v>0</v>
      </c>
      <c r="J298" s="70">
        <f t="shared" si="72"/>
        <v>0</v>
      </c>
    </row>
    <row r="299" spans="1:12">
      <c r="A299" s="69" t="s">
        <v>1658</v>
      </c>
      <c r="B299" s="69">
        <v>10</v>
      </c>
      <c r="C299" s="159"/>
      <c r="D299" s="70">
        <f>$B$299*$C$299*12*D198</f>
        <v>0</v>
      </c>
      <c r="E299" s="70">
        <f t="shared" ref="E299:J299" si="73">$B$299*$C$299*12*E198</f>
        <v>0</v>
      </c>
      <c r="F299" s="70">
        <f t="shared" si="73"/>
        <v>0</v>
      </c>
      <c r="G299" s="70">
        <f t="shared" si="73"/>
        <v>0</v>
      </c>
      <c r="H299" s="70">
        <f t="shared" si="73"/>
        <v>0</v>
      </c>
      <c r="I299" s="70">
        <f t="shared" si="73"/>
        <v>0</v>
      </c>
      <c r="J299" s="70">
        <f t="shared" si="73"/>
        <v>0</v>
      </c>
    </row>
    <row r="300" spans="1:12">
      <c r="A300" s="69"/>
      <c r="B300" s="69"/>
      <c r="C300" s="159"/>
      <c r="D300" s="70"/>
      <c r="E300" s="70"/>
      <c r="F300" s="70"/>
      <c r="G300" s="70"/>
      <c r="H300" s="70"/>
      <c r="I300" s="70"/>
      <c r="J300" s="70"/>
    </row>
    <row r="301" spans="1:12">
      <c r="A301" s="69"/>
      <c r="B301" s="69"/>
      <c r="C301" s="159"/>
      <c r="D301" s="70"/>
      <c r="E301" s="70"/>
      <c r="F301" s="70"/>
      <c r="G301" s="70"/>
      <c r="H301" s="70"/>
      <c r="I301" s="70"/>
      <c r="J301" s="70"/>
    </row>
    <row r="302" spans="1:12">
      <c r="A302" s="69"/>
      <c r="B302" s="69"/>
      <c r="C302" s="159"/>
      <c r="D302" s="70"/>
      <c r="E302" s="70"/>
      <c r="F302" s="70"/>
      <c r="G302" s="70"/>
      <c r="H302" s="70"/>
      <c r="I302" s="70"/>
      <c r="J302" s="70"/>
    </row>
    <row r="303" spans="1:12">
      <c r="A303" s="69"/>
      <c r="B303" s="69"/>
      <c r="C303" s="159"/>
      <c r="D303" s="70"/>
      <c r="E303" s="70"/>
      <c r="F303" s="70"/>
      <c r="G303" s="70"/>
      <c r="H303" s="70"/>
      <c r="I303" s="70"/>
      <c r="J303" s="70"/>
    </row>
    <row r="304" spans="1:12">
      <c r="A304" s="71" t="s">
        <v>312</v>
      </c>
      <c r="B304" s="71"/>
      <c r="C304" s="71"/>
      <c r="D304" s="87">
        <f t="shared" ref="D304:J304" si="74">SUM(D293:D303)</f>
        <v>0</v>
      </c>
      <c r="E304" s="87">
        <f t="shared" si="74"/>
        <v>0</v>
      </c>
      <c r="F304" s="87">
        <f t="shared" si="74"/>
        <v>0</v>
      </c>
      <c r="G304" s="87">
        <f t="shared" si="74"/>
        <v>0</v>
      </c>
      <c r="H304" s="87">
        <f t="shared" si="74"/>
        <v>0</v>
      </c>
      <c r="I304" s="87">
        <f t="shared" si="74"/>
        <v>0</v>
      </c>
      <c r="J304" s="87">
        <f t="shared" si="74"/>
        <v>0</v>
      </c>
    </row>
    <row r="305" spans="1:10">
      <c r="A305" s="160" t="s">
        <v>300</v>
      </c>
      <c r="B305" s="160"/>
      <c r="C305" s="160"/>
      <c r="D305" s="87">
        <f t="shared" ref="D305:J305" si="75">D289+D304</f>
        <v>0</v>
      </c>
      <c r="E305" s="87">
        <f t="shared" si="75"/>
        <v>0</v>
      </c>
      <c r="F305" s="87">
        <f t="shared" si="75"/>
        <v>0</v>
      </c>
      <c r="G305" s="87">
        <f t="shared" si="75"/>
        <v>0</v>
      </c>
      <c r="H305" s="87">
        <f t="shared" si="75"/>
        <v>0</v>
      </c>
      <c r="I305" s="87">
        <f t="shared" si="75"/>
        <v>0</v>
      </c>
      <c r="J305" s="87">
        <f t="shared" si="75"/>
        <v>0</v>
      </c>
    </row>
    <row r="306" spans="1:10">
      <c r="A306" s="69"/>
      <c r="B306" s="69"/>
      <c r="C306" s="69"/>
      <c r="D306" s="70"/>
      <c r="E306" s="70"/>
      <c r="F306" s="70"/>
      <c r="G306" s="70"/>
      <c r="H306" s="70"/>
      <c r="I306" s="70"/>
      <c r="J306" s="70"/>
    </row>
    <row r="307" spans="1:10">
      <c r="A307" s="71" t="s">
        <v>7</v>
      </c>
      <c r="B307" s="71"/>
      <c r="C307" s="71"/>
      <c r="D307" s="87">
        <f t="shared" ref="D307:J307" si="76">D239-D305</f>
        <v>0</v>
      </c>
      <c r="E307" s="87">
        <f t="shared" si="76"/>
        <v>0</v>
      </c>
      <c r="F307" s="87">
        <f t="shared" si="76"/>
        <v>0</v>
      </c>
      <c r="G307" s="87">
        <f t="shared" si="76"/>
        <v>0</v>
      </c>
      <c r="H307" s="87">
        <f t="shared" si="76"/>
        <v>0</v>
      </c>
      <c r="I307" s="87">
        <f t="shared" si="76"/>
        <v>0</v>
      </c>
      <c r="J307" s="87">
        <f t="shared" si="76"/>
        <v>0</v>
      </c>
    </row>
    <row r="308" spans="1:10">
      <c r="A308" s="88"/>
      <c r="B308" s="88"/>
      <c r="C308" s="88"/>
      <c r="D308" s="68"/>
      <c r="E308" s="68"/>
      <c r="F308" s="68"/>
      <c r="G308" s="68"/>
      <c r="H308" s="68"/>
      <c r="I308" s="68"/>
      <c r="J308" s="68"/>
    </row>
    <row r="309" spans="1:10">
      <c r="A309" s="68"/>
      <c r="B309" s="68"/>
      <c r="C309" s="68"/>
      <c r="D309" s="291"/>
      <c r="E309" s="291"/>
      <c r="F309" s="291"/>
      <c r="G309" s="291"/>
      <c r="H309" s="291"/>
      <c r="I309" s="291"/>
      <c r="J309" s="291"/>
    </row>
    <row r="310" spans="1:10">
      <c r="A310" s="68"/>
      <c r="B310" s="68"/>
      <c r="C310" s="68"/>
      <c r="D310" s="68"/>
      <c r="E310" s="68"/>
      <c r="F310" s="68"/>
      <c r="G310" s="68"/>
      <c r="H310" s="68"/>
      <c r="I310" s="68"/>
      <c r="J310" s="68"/>
    </row>
    <row r="311" spans="1:10">
      <c r="A311" s="1073" t="s">
        <v>1977</v>
      </c>
      <c r="B311" s="1073"/>
      <c r="C311" s="1073"/>
      <c r="D311" s="1073"/>
      <c r="E311" s="1073"/>
      <c r="F311" s="1073"/>
      <c r="G311" s="1073"/>
      <c r="H311" s="1073"/>
      <c r="I311" s="1073"/>
      <c r="J311" s="1073"/>
    </row>
    <row r="312" spans="1:10">
      <c r="D312">
        <f>+'18. Facility 6 Cold Storage'!D86</f>
        <v>3565800</v>
      </c>
      <c r="E312">
        <f>+'18. Facility 6 Cold Storage'!E86</f>
        <v>4257540</v>
      </c>
      <c r="F312">
        <f>+'18. Facility 6 Cold Storage'!F86</f>
        <v>5075689.5000000037</v>
      </c>
      <c r="G312">
        <f>+'18. Facility 6 Cold Storage'!G86</f>
        <v>5965010.1000000034</v>
      </c>
      <c r="H312">
        <f>+'18. Facility 6 Cold Storage'!H86</f>
        <v>6930573.5362500036</v>
      </c>
      <c r="I312">
        <f>+'18. Facility 6 Cold Storage'!I86</f>
        <v>7277102.2130625043</v>
      </c>
      <c r="J312">
        <f>+'18. Facility 6 Cold Storage'!J86</f>
        <v>7640957.3237156309</v>
      </c>
    </row>
    <row r="313" spans="1:10">
      <c r="A313" t="s">
        <v>531</v>
      </c>
      <c r="D313" s="51">
        <v>8367695.5975000262</v>
      </c>
      <c r="E313" s="51">
        <v>11147463.842493832</v>
      </c>
      <c r="F313" s="51">
        <v>12750973.786608819</v>
      </c>
      <c r="G313" s="51">
        <v>14486966.065529088</v>
      </c>
      <c r="H313" s="51">
        <v>16364680.13787479</v>
      </c>
      <c r="I313" s="51">
        <v>17693269.624478973</v>
      </c>
      <c r="J313" s="51">
        <v>19113806.359398428</v>
      </c>
    </row>
    <row r="314" spans="1:10">
      <c r="D314" s="51">
        <f>+D307-D313</f>
        <v>-8367695.5975000262</v>
      </c>
      <c r="E314" s="51">
        <f t="shared" ref="E314:J314" si="77">+E307-E313</f>
        <v>-11147463.842493832</v>
      </c>
      <c r="F314" s="51">
        <f t="shared" si="77"/>
        <v>-12750973.786608819</v>
      </c>
      <c r="G314" s="51">
        <f t="shared" si="77"/>
        <v>-14486966.065529088</v>
      </c>
      <c r="H314" s="51">
        <f t="shared" si="77"/>
        <v>-16364680.13787479</v>
      </c>
      <c r="I314" s="51">
        <f t="shared" si="77"/>
        <v>-17693269.624478973</v>
      </c>
      <c r="J314" s="51">
        <f t="shared" si="77"/>
        <v>-19113806.359398428</v>
      </c>
    </row>
    <row r="315" spans="1:10">
      <c r="A315">
        <v>1</v>
      </c>
      <c r="B315" t="s">
        <v>544</v>
      </c>
    </row>
    <row r="316" spans="1:10">
      <c r="A316">
        <v>2</v>
      </c>
      <c r="B316" t="s">
        <v>545</v>
      </c>
      <c r="C316" s="51"/>
      <c r="D316" s="51"/>
      <c r="E316" s="51"/>
    </row>
    <row r="317" spans="1:10">
      <c r="A317">
        <v>3</v>
      </c>
      <c r="B317" s="68" t="s">
        <v>572</v>
      </c>
    </row>
  </sheetData>
  <mergeCells count="6">
    <mergeCell ref="A3:H3"/>
    <mergeCell ref="A196:J196"/>
    <mergeCell ref="A311:J311"/>
    <mergeCell ref="A4:H4"/>
    <mergeCell ref="A149:H149"/>
    <mergeCell ref="A150:A151"/>
  </mergeCells>
  <pageMargins left="1" right="0.25" top="0.75" bottom="0.75" header="0.3" footer="0.3"/>
  <pageSetup paperSize="9" scale="74" orientation="landscape" r:id="rId1"/>
  <rowBreaks count="4" manualBreakCount="4">
    <brk id="148" max="9" man="1"/>
    <brk id="194" max="9" man="1"/>
    <brk id="239" max="9" man="1"/>
    <brk id="289"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2"/>
  <sheetViews>
    <sheetView view="pageBreakPreview" topLeftCell="A13" zoomScale="85" zoomScaleNormal="85" zoomScaleSheetLayoutView="85" workbookViewId="0">
      <selection activeCell="H23" sqref="H23"/>
    </sheetView>
  </sheetViews>
  <sheetFormatPr defaultRowHeight="21"/>
  <cols>
    <col min="1" max="1" width="3.140625" customWidth="1"/>
    <col min="2" max="2" width="5.42578125" style="646" customWidth="1"/>
    <col min="3" max="3" width="51" customWidth="1"/>
    <col min="4" max="4" width="11.42578125" style="651" customWidth="1"/>
    <col min="5" max="5" width="5.28515625" style="651" customWidth="1"/>
    <col min="6" max="6" width="11" style="651" customWidth="1"/>
    <col min="8" max="8" width="66.42578125" customWidth="1"/>
  </cols>
  <sheetData>
    <row r="1" spans="2:8" ht="7.5" customHeight="1"/>
    <row r="2" spans="2:8" ht="30.75" customHeight="1">
      <c r="B2" s="764" t="s">
        <v>1921</v>
      </c>
      <c r="C2" s="764"/>
      <c r="D2" s="764"/>
      <c r="E2" s="764"/>
      <c r="F2" s="764"/>
    </row>
    <row r="3" spans="2:8" ht="15">
      <c r="B3" s="729" t="s">
        <v>1954</v>
      </c>
      <c r="C3" s="729"/>
      <c r="D3" s="729"/>
      <c r="E3" s="729"/>
      <c r="F3" s="729"/>
    </row>
    <row r="4" spans="2:8" ht="2.25" customHeight="1">
      <c r="B4" s="729"/>
      <c r="C4" s="729"/>
      <c r="D4" s="729"/>
      <c r="E4" s="729"/>
      <c r="F4" s="729"/>
    </row>
    <row r="5" spans="2:8">
      <c r="B5" s="654" t="s">
        <v>708</v>
      </c>
      <c r="C5" s="655" t="s">
        <v>1952</v>
      </c>
      <c r="D5" s="652" t="s">
        <v>1953</v>
      </c>
      <c r="E5" s="652" t="s">
        <v>1935</v>
      </c>
      <c r="F5" s="652" t="s">
        <v>1953</v>
      </c>
    </row>
    <row r="6" spans="2:8" ht="24.75" customHeight="1">
      <c r="B6" s="532">
        <v>1</v>
      </c>
      <c r="C6" s="9" t="s">
        <v>1956</v>
      </c>
      <c r="D6" s="653">
        <v>1</v>
      </c>
      <c r="E6" s="653" t="s">
        <v>1975</v>
      </c>
      <c r="F6" s="653">
        <v>2</v>
      </c>
    </row>
    <row r="7" spans="2:8" ht="21.75" customHeight="1">
      <c r="B7" s="532">
        <v>2</v>
      </c>
      <c r="C7" s="9" t="s">
        <v>1957</v>
      </c>
      <c r="D7" s="653">
        <v>3</v>
      </c>
      <c r="E7" s="653" t="s">
        <v>1975</v>
      </c>
      <c r="F7" s="653" t="s">
        <v>1988</v>
      </c>
      <c r="H7" s="643"/>
    </row>
    <row r="8" spans="2:8" ht="21" customHeight="1">
      <c r="B8" s="532">
        <v>3</v>
      </c>
      <c r="C8" s="644" t="s">
        <v>1958</v>
      </c>
      <c r="D8" s="653">
        <v>20</v>
      </c>
      <c r="E8" s="653" t="s">
        <v>1975</v>
      </c>
      <c r="F8" s="653">
        <v>53</v>
      </c>
      <c r="H8" s="643"/>
    </row>
    <row r="9" spans="2:8" ht="21.75" customHeight="1">
      <c r="B9" s="532">
        <v>4</v>
      </c>
      <c r="C9" s="644" t="s">
        <v>1959</v>
      </c>
      <c r="D9" s="653">
        <v>54</v>
      </c>
      <c r="E9" s="653" t="s">
        <v>1975</v>
      </c>
      <c r="F9" s="653">
        <v>66</v>
      </c>
      <c r="H9" s="643"/>
    </row>
    <row r="10" spans="2:8" ht="21.75" customHeight="1">
      <c r="B10" s="532">
        <v>5</v>
      </c>
      <c r="C10" s="644" t="s">
        <v>1960</v>
      </c>
      <c r="D10" s="653">
        <v>67</v>
      </c>
      <c r="E10" s="653" t="s">
        <v>1975</v>
      </c>
      <c r="F10" s="653">
        <v>106</v>
      </c>
      <c r="H10" s="643"/>
    </row>
    <row r="11" spans="2:8" ht="21.75" customHeight="1">
      <c r="B11" s="532">
        <v>6</v>
      </c>
      <c r="C11" s="644" t="s">
        <v>1961</v>
      </c>
      <c r="D11" s="653">
        <v>107</v>
      </c>
      <c r="E11" s="653" t="s">
        <v>1975</v>
      </c>
      <c r="F11" s="653">
        <v>108</v>
      </c>
      <c r="H11" s="643"/>
    </row>
    <row r="12" spans="2:8" ht="21.75" customHeight="1">
      <c r="B12" s="532">
        <v>7</v>
      </c>
      <c r="C12" s="644" t="s">
        <v>1962</v>
      </c>
      <c r="D12" s="653">
        <v>109</v>
      </c>
      <c r="E12" s="653" t="s">
        <v>1975</v>
      </c>
      <c r="F12" s="653">
        <v>129</v>
      </c>
      <c r="H12" s="643"/>
    </row>
    <row r="13" spans="2:8" ht="30">
      <c r="B13" s="532">
        <v>8</v>
      </c>
      <c r="C13" s="644" t="s">
        <v>1963</v>
      </c>
      <c r="D13" s="653">
        <v>130</v>
      </c>
      <c r="E13" s="653" t="s">
        <v>1975</v>
      </c>
      <c r="F13" s="653">
        <v>133</v>
      </c>
      <c r="H13" s="643"/>
    </row>
    <row r="14" spans="2:8" ht="30">
      <c r="B14" s="532">
        <v>9</v>
      </c>
      <c r="C14" s="644" t="s">
        <v>1964</v>
      </c>
      <c r="D14" s="653">
        <v>134</v>
      </c>
      <c r="E14" s="653" t="s">
        <v>1975</v>
      </c>
      <c r="F14" s="653">
        <v>135</v>
      </c>
      <c r="H14" s="643"/>
    </row>
    <row r="15" spans="2:8" ht="24" customHeight="1">
      <c r="B15" s="532">
        <v>10</v>
      </c>
      <c r="C15" s="644" t="s">
        <v>1965</v>
      </c>
      <c r="D15" s="653"/>
      <c r="E15" s="653" t="s">
        <v>1975</v>
      </c>
      <c r="F15" s="653"/>
      <c r="H15" s="643"/>
    </row>
    <row r="16" spans="2:8" ht="45">
      <c r="B16" s="532">
        <v>11</v>
      </c>
      <c r="C16" s="644" t="s">
        <v>1966</v>
      </c>
      <c r="D16" s="653">
        <v>136</v>
      </c>
      <c r="E16" s="653" t="s">
        <v>1975</v>
      </c>
      <c r="F16" s="653">
        <v>171</v>
      </c>
      <c r="H16" s="643"/>
    </row>
    <row r="17" spans="2:8" ht="45">
      <c r="B17" s="532">
        <v>12</v>
      </c>
      <c r="C17" s="644" t="s">
        <v>1967</v>
      </c>
      <c r="D17" s="653">
        <v>172</v>
      </c>
      <c r="E17" s="653" t="s">
        <v>1975</v>
      </c>
      <c r="F17" s="653">
        <v>233</v>
      </c>
      <c r="H17" s="643"/>
    </row>
    <row r="18" spans="2:8" ht="22.5" customHeight="1">
      <c r="B18" s="532">
        <v>13</v>
      </c>
      <c r="C18" s="644" t="s">
        <v>1968</v>
      </c>
      <c r="D18" s="653">
        <v>234</v>
      </c>
      <c r="E18" s="653" t="s">
        <v>1975</v>
      </c>
      <c r="F18" s="653" t="s">
        <v>1987</v>
      </c>
      <c r="H18" s="643"/>
    </row>
    <row r="19" spans="2:8" ht="30">
      <c r="B19" s="532">
        <v>14</v>
      </c>
      <c r="C19" s="644" t="s">
        <v>1969</v>
      </c>
      <c r="D19" s="653">
        <v>239</v>
      </c>
      <c r="E19" s="653" t="s">
        <v>1975</v>
      </c>
      <c r="F19" s="653">
        <v>240</v>
      </c>
    </row>
    <row r="20" spans="2:8" ht="21" customHeight="1">
      <c r="B20" s="532">
        <v>15</v>
      </c>
      <c r="C20" s="9" t="s">
        <v>1955</v>
      </c>
      <c r="D20" s="653">
        <v>241</v>
      </c>
      <c r="E20" s="653" t="s">
        <v>1975</v>
      </c>
      <c r="F20" s="653">
        <v>262</v>
      </c>
    </row>
    <row r="21" spans="2:8" ht="20.25" customHeight="1">
      <c r="B21" s="532">
        <v>16</v>
      </c>
      <c r="C21" s="9" t="s">
        <v>1970</v>
      </c>
      <c r="D21" s="653">
        <v>263</v>
      </c>
      <c r="E21" s="653" t="s">
        <v>1975</v>
      </c>
      <c r="F21" s="653">
        <v>283</v>
      </c>
    </row>
    <row r="22" spans="2:8" ht="31.5">
      <c r="B22" s="532">
        <v>17</v>
      </c>
      <c r="C22" s="645" t="s">
        <v>1971</v>
      </c>
      <c r="D22" s="653">
        <v>284</v>
      </c>
      <c r="E22" s="653" t="s">
        <v>1975</v>
      </c>
      <c r="F22" s="653">
        <v>317</v>
      </c>
    </row>
    <row r="23" spans="2:8" ht="20.25" customHeight="1">
      <c r="B23" s="532">
        <v>18</v>
      </c>
      <c r="C23" s="645" t="s">
        <v>1972</v>
      </c>
      <c r="D23" s="653">
        <v>318</v>
      </c>
      <c r="E23" s="653" t="s">
        <v>1975</v>
      </c>
      <c r="F23" s="653">
        <v>326</v>
      </c>
    </row>
    <row r="24" spans="2:8" ht="21" customHeight="1">
      <c r="B24" s="532">
        <v>19</v>
      </c>
      <c r="C24" s="645" t="s">
        <v>1973</v>
      </c>
      <c r="D24" s="653">
        <v>327</v>
      </c>
      <c r="E24" s="653" t="s">
        <v>1975</v>
      </c>
      <c r="F24" s="653">
        <v>337</v>
      </c>
    </row>
    <row r="25" spans="2:8" ht="31.5">
      <c r="B25" s="532">
        <v>20</v>
      </c>
      <c r="C25" s="645" t="s">
        <v>1974</v>
      </c>
      <c r="D25" s="653">
        <v>338</v>
      </c>
      <c r="E25" s="653" t="s">
        <v>1975</v>
      </c>
      <c r="F25" s="653">
        <v>340</v>
      </c>
    </row>
    <row r="26" spans="2:8" ht="20.25" customHeight="1">
      <c r="B26" s="532">
        <v>21</v>
      </c>
      <c r="C26" s="645" t="s">
        <v>1530</v>
      </c>
      <c r="D26" s="653">
        <v>341</v>
      </c>
      <c r="E26" s="653" t="s">
        <v>1975</v>
      </c>
      <c r="F26" s="653">
        <v>342</v>
      </c>
    </row>
    <row r="27" spans="2:8" ht="20.25" customHeight="1">
      <c r="B27" s="532">
        <v>22</v>
      </c>
      <c r="C27" s="645" t="s">
        <v>1983</v>
      </c>
      <c r="D27" s="653">
        <v>343</v>
      </c>
      <c r="E27" s="653" t="s">
        <v>1975</v>
      </c>
      <c r="F27" s="653">
        <v>344</v>
      </c>
    </row>
    <row r="28" spans="2:8">
      <c r="B28" s="532">
        <v>23</v>
      </c>
      <c r="C28" s="645" t="s">
        <v>1984</v>
      </c>
      <c r="D28" s="653">
        <v>345</v>
      </c>
      <c r="E28" s="653" t="s">
        <v>1975</v>
      </c>
      <c r="F28" s="653" t="s">
        <v>1992</v>
      </c>
    </row>
    <row r="29" spans="2:8" ht="25.5" customHeight="1">
      <c r="B29" s="532">
        <v>24</v>
      </c>
      <c r="C29" s="645" t="s">
        <v>1985</v>
      </c>
      <c r="D29" s="653">
        <v>347</v>
      </c>
      <c r="E29" s="653" t="s">
        <v>1975</v>
      </c>
      <c r="F29" s="653">
        <v>348</v>
      </c>
    </row>
    <row r="30" spans="2:8">
      <c r="B30" s="532">
        <v>25</v>
      </c>
      <c r="C30" s="645" t="s">
        <v>1991</v>
      </c>
      <c r="D30" s="653">
        <v>349</v>
      </c>
      <c r="E30" s="653" t="s">
        <v>1975</v>
      </c>
      <c r="F30" s="653">
        <v>350</v>
      </c>
    </row>
    <row r="31" spans="2:8" ht="31.5">
      <c r="B31" s="532">
        <v>26</v>
      </c>
      <c r="C31" s="645" t="s">
        <v>1986</v>
      </c>
      <c r="D31" s="653">
        <v>351</v>
      </c>
      <c r="E31" s="653" t="s">
        <v>1975</v>
      </c>
      <c r="F31" s="653">
        <v>352</v>
      </c>
    </row>
    <row r="32" spans="2:8">
      <c r="B32" s="532">
        <v>27</v>
      </c>
      <c r="C32" s="645" t="s">
        <v>1989</v>
      </c>
      <c r="D32" s="653">
        <v>353</v>
      </c>
      <c r="E32" s="653" t="s">
        <v>1975</v>
      </c>
      <c r="F32" s="653">
        <v>354</v>
      </c>
    </row>
  </sheetData>
  <mergeCells count="3">
    <mergeCell ref="B4:F4"/>
    <mergeCell ref="B2:F2"/>
    <mergeCell ref="B3:F3"/>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
  <sheetViews>
    <sheetView view="pageBreakPreview" topLeftCell="A40" zoomScaleSheetLayoutView="100" workbookViewId="0">
      <selection activeCell="B68" sqref="B68"/>
    </sheetView>
  </sheetViews>
  <sheetFormatPr defaultRowHeight="15"/>
  <cols>
    <col min="1" max="1" width="32" customWidth="1"/>
    <col min="2" max="2" width="11.42578125" customWidth="1"/>
    <col min="3" max="3" width="11.140625" customWidth="1"/>
    <col min="4" max="10" width="11.5703125" bestFit="1" customWidth="1"/>
    <col min="12" max="12" width="10.140625" bestFit="1" customWidth="1"/>
  </cols>
  <sheetData>
    <row r="1" spans="1:8" ht="6.75" customHeight="1"/>
    <row r="2" spans="1:8" ht="18.75">
      <c r="A2" s="724" t="s">
        <v>1663</v>
      </c>
      <c r="B2" s="724"/>
      <c r="C2" s="724"/>
      <c r="D2" s="724"/>
      <c r="E2" s="724"/>
      <c r="F2" s="724"/>
      <c r="G2" s="724"/>
      <c r="H2" s="724"/>
    </row>
    <row r="3" spans="1:8" ht="18.75">
      <c r="A3" s="724" t="s">
        <v>569</v>
      </c>
      <c r="B3" s="724"/>
      <c r="C3" s="724"/>
      <c r="D3" s="724"/>
      <c r="E3" s="724"/>
      <c r="F3" s="724"/>
      <c r="G3" s="724"/>
      <c r="H3" s="724"/>
    </row>
    <row r="4" spans="1:8" ht="18.75" hidden="1">
      <c r="A4" s="405"/>
      <c r="B4" s="405"/>
      <c r="C4" s="405"/>
      <c r="D4" s="405"/>
      <c r="E4" s="405"/>
      <c r="F4" s="405"/>
      <c r="G4" s="405"/>
      <c r="H4" s="405"/>
    </row>
    <row r="5" spans="1:8" ht="18.75" hidden="1">
      <c r="A5" s="1178" t="s">
        <v>1723</v>
      </c>
      <c r="B5" s="1179"/>
      <c r="C5" s="1179"/>
      <c r="D5" s="1179"/>
      <c r="E5" s="1179"/>
      <c r="F5" s="1179"/>
      <c r="G5" s="1179"/>
      <c r="H5" s="1180"/>
    </row>
    <row r="6" spans="1:8" hidden="1">
      <c r="A6" s="1181" t="s">
        <v>0</v>
      </c>
      <c r="B6" s="228">
        <v>0.8</v>
      </c>
      <c r="C6" s="228">
        <f t="shared" ref="C6:H6" si="0">+B6+5%</f>
        <v>0.85000000000000009</v>
      </c>
      <c r="D6" s="228">
        <f t="shared" si="0"/>
        <v>0.90000000000000013</v>
      </c>
      <c r="E6" s="228">
        <f t="shared" si="0"/>
        <v>0.95000000000000018</v>
      </c>
      <c r="F6" s="228">
        <f t="shared" si="0"/>
        <v>1.0000000000000002</v>
      </c>
      <c r="G6" s="228">
        <f t="shared" si="0"/>
        <v>1.0500000000000003</v>
      </c>
      <c r="H6" s="228">
        <f t="shared" si="0"/>
        <v>1.1000000000000003</v>
      </c>
    </row>
    <row r="7" spans="1:8" hidden="1">
      <c r="A7" s="1182"/>
      <c r="B7" s="222" t="s">
        <v>2</v>
      </c>
      <c r="C7" s="222" t="s">
        <v>3</v>
      </c>
      <c r="D7" s="222" t="s">
        <v>4</v>
      </c>
      <c r="E7" s="222" t="s">
        <v>5</v>
      </c>
      <c r="F7" s="222" t="s">
        <v>6</v>
      </c>
      <c r="G7" s="222" t="s">
        <v>170</v>
      </c>
      <c r="H7" s="222" t="s">
        <v>169</v>
      </c>
    </row>
    <row r="8" spans="1:8" hidden="1">
      <c r="A8" s="9" t="str">
        <f>+'11.F&amp;V Crop Production details'!A78</f>
        <v>Exotic Vegitables</v>
      </c>
      <c r="B8" s="9">
        <f>+'11.F&amp;V Crop Production details'!B78</f>
        <v>0</v>
      </c>
      <c r="C8" s="9">
        <f>+'11.F&amp;V Crop Production details'!C78</f>
        <v>0</v>
      </c>
      <c r="D8" s="9">
        <f>+'11.F&amp;V Crop Production details'!D78</f>
        <v>0</v>
      </c>
      <c r="E8" s="9">
        <f>+'11.F&amp;V Crop Production details'!E78</f>
        <v>0</v>
      </c>
      <c r="F8" s="9">
        <f>+'11.F&amp;V Crop Production details'!F78</f>
        <v>0</v>
      </c>
      <c r="G8" s="9">
        <f>+'11.F&amp;V Crop Production details'!G78</f>
        <v>0</v>
      </c>
      <c r="H8" s="9">
        <f>+'11.F&amp;V Crop Production details'!H78</f>
        <v>0</v>
      </c>
    </row>
    <row r="9" spans="1:8" hidden="1">
      <c r="A9" s="9" t="str">
        <f>+'11.F&amp;V Crop Production details'!A79</f>
        <v>Tomato</v>
      </c>
      <c r="B9" s="9">
        <f>+'11.F&amp;V Crop Production details'!B79</f>
        <v>0</v>
      </c>
      <c r="C9" s="9">
        <f>+'11.F&amp;V Crop Production details'!C79</f>
        <v>0</v>
      </c>
      <c r="D9" s="9">
        <f>+'11.F&amp;V Crop Production details'!D79</f>
        <v>0</v>
      </c>
      <c r="E9" s="9">
        <f>+'11.F&amp;V Crop Production details'!E79</f>
        <v>0</v>
      </c>
      <c r="F9" s="9">
        <f>+'11.F&amp;V Crop Production details'!F79</f>
        <v>0</v>
      </c>
      <c r="G9" s="9">
        <f>+'11.F&amp;V Crop Production details'!G79</f>
        <v>0</v>
      </c>
      <c r="H9" s="9">
        <f>+'11.F&amp;V Crop Production details'!H79</f>
        <v>0</v>
      </c>
    </row>
    <row r="10" spans="1:8" hidden="1">
      <c r="A10" s="9" t="str">
        <f>+'11.F&amp;V Crop Production details'!A80</f>
        <v>Okra</v>
      </c>
      <c r="B10" s="9">
        <f>+'11.F&amp;V Crop Production details'!B80</f>
        <v>0</v>
      </c>
      <c r="C10" s="9">
        <f>+'11.F&amp;V Crop Production details'!C80</f>
        <v>0</v>
      </c>
      <c r="D10" s="9">
        <f>+'11.F&amp;V Crop Production details'!D80</f>
        <v>0</v>
      </c>
      <c r="E10" s="9">
        <f>+'11.F&amp;V Crop Production details'!E80</f>
        <v>0</v>
      </c>
      <c r="F10" s="9">
        <f>+'11.F&amp;V Crop Production details'!F80</f>
        <v>0</v>
      </c>
      <c r="G10" s="9">
        <f>+'11.F&amp;V Crop Production details'!G80</f>
        <v>0</v>
      </c>
      <c r="H10" s="9">
        <f>+'11.F&amp;V Crop Production details'!H80</f>
        <v>0</v>
      </c>
    </row>
    <row r="11" spans="1:8" hidden="1">
      <c r="A11" s="9" t="str">
        <f>+'11.F&amp;V Crop Production details'!A81</f>
        <v>Chilli</v>
      </c>
      <c r="B11" s="9">
        <f>+'11.F&amp;V Crop Production details'!B81</f>
        <v>0</v>
      </c>
      <c r="C11" s="9">
        <f>+'11.F&amp;V Crop Production details'!C81</f>
        <v>0</v>
      </c>
      <c r="D11" s="9">
        <f>+'11.F&amp;V Crop Production details'!D81</f>
        <v>0</v>
      </c>
      <c r="E11" s="9">
        <f>+'11.F&amp;V Crop Production details'!E81</f>
        <v>0</v>
      </c>
      <c r="F11" s="9">
        <f>+'11.F&amp;V Crop Production details'!F81</f>
        <v>0</v>
      </c>
      <c r="G11" s="9">
        <f>+'11.F&amp;V Crop Production details'!G81</f>
        <v>0</v>
      </c>
      <c r="H11" s="9">
        <f>+'11.F&amp;V Crop Production details'!H81</f>
        <v>0</v>
      </c>
    </row>
    <row r="12" spans="1:8" hidden="1">
      <c r="A12" s="9" t="str">
        <f>+'11.F&amp;V Crop Production details'!A82</f>
        <v>Potato</v>
      </c>
      <c r="B12" s="9">
        <f>+'11.F&amp;V Crop Production details'!B82</f>
        <v>0</v>
      </c>
      <c r="C12" s="9">
        <f>+'11.F&amp;V Crop Production details'!C82</f>
        <v>0</v>
      </c>
      <c r="D12" s="9">
        <f>+'11.F&amp;V Crop Production details'!D82</f>
        <v>0</v>
      </c>
      <c r="E12" s="9">
        <f>+'11.F&amp;V Crop Production details'!E82</f>
        <v>0</v>
      </c>
      <c r="F12" s="9">
        <f>+'11.F&amp;V Crop Production details'!F82</f>
        <v>0</v>
      </c>
      <c r="G12" s="9">
        <f>+'11.F&amp;V Crop Production details'!G82</f>
        <v>0</v>
      </c>
      <c r="H12" s="9">
        <f>+'11.F&amp;V Crop Production details'!H82</f>
        <v>0</v>
      </c>
    </row>
    <row r="13" spans="1:8" hidden="1">
      <c r="A13" s="9" t="str">
        <f>+'11.F&amp;V Crop Production details'!A83</f>
        <v>Cabbage</v>
      </c>
      <c r="B13" s="9">
        <f>+'11.F&amp;V Crop Production details'!B83</f>
        <v>0</v>
      </c>
      <c r="C13" s="9">
        <f>+'11.F&amp;V Crop Production details'!C83</f>
        <v>0</v>
      </c>
      <c r="D13" s="9">
        <f>+'11.F&amp;V Crop Production details'!D83</f>
        <v>0</v>
      </c>
      <c r="E13" s="9">
        <f>+'11.F&amp;V Crop Production details'!E83</f>
        <v>0</v>
      </c>
      <c r="F13" s="9">
        <f>+'11.F&amp;V Crop Production details'!F83</f>
        <v>0</v>
      </c>
      <c r="G13" s="9">
        <f>+'11.F&amp;V Crop Production details'!G83</f>
        <v>0</v>
      </c>
      <c r="H13" s="9">
        <f>+'11.F&amp;V Crop Production details'!H83</f>
        <v>0</v>
      </c>
    </row>
    <row r="14" spans="1:8" hidden="1">
      <c r="A14" s="9" t="str">
        <f>+'11.F&amp;V Crop Production details'!A84</f>
        <v>Coliflower</v>
      </c>
      <c r="B14" s="9">
        <f>+'11.F&amp;V Crop Production details'!B84</f>
        <v>0</v>
      </c>
      <c r="C14" s="9">
        <f>+'11.F&amp;V Crop Production details'!C84</f>
        <v>0</v>
      </c>
      <c r="D14" s="9">
        <f>+'11.F&amp;V Crop Production details'!D84</f>
        <v>0</v>
      </c>
      <c r="E14" s="9">
        <f>+'11.F&amp;V Crop Production details'!E84</f>
        <v>0</v>
      </c>
      <c r="F14" s="9">
        <f>+'11.F&amp;V Crop Production details'!F84</f>
        <v>0</v>
      </c>
      <c r="G14" s="9">
        <f>+'11.F&amp;V Crop Production details'!G84</f>
        <v>0</v>
      </c>
      <c r="H14" s="9">
        <f>+'11.F&amp;V Crop Production details'!H84</f>
        <v>0</v>
      </c>
    </row>
    <row r="15" spans="1:8" hidden="1">
      <c r="A15" s="9" t="str">
        <f>+'11.F&amp;V Crop Production details'!A85</f>
        <v>Bitter Gurd</v>
      </c>
      <c r="B15" s="9">
        <f>+'11.F&amp;V Crop Production details'!B85</f>
        <v>0</v>
      </c>
      <c r="C15" s="9">
        <f>+'11.F&amp;V Crop Production details'!C85</f>
        <v>0</v>
      </c>
      <c r="D15" s="9">
        <f>+'11.F&amp;V Crop Production details'!D85</f>
        <v>0</v>
      </c>
      <c r="E15" s="9">
        <f>+'11.F&amp;V Crop Production details'!E85</f>
        <v>0</v>
      </c>
      <c r="F15" s="9">
        <f>+'11.F&amp;V Crop Production details'!F85</f>
        <v>0</v>
      </c>
      <c r="G15" s="9">
        <f>+'11.F&amp;V Crop Production details'!G85</f>
        <v>0</v>
      </c>
      <c r="H15" s="9">
        <f>+'11.F&amp;V Crop Production details'!H85</f>
        <v>0</v>
      </c>
    </row>
    <row r="16" spans="1:8" hidden="1">
      <c r="A16" s="9">
        <f>+'11.F&amp;V Crop Production details'!A86</f>
        <v>0</v>
      </c>
      <c r="B16" s="9">
        <f>+'11.F&amp;V Crop Production details'!B86</f>
        <v>0</v>
      </c>
      <c r="C16" s="9">
        <f>+'11.F&amp;V Crop Production details'!C86</f>
        <v>0</v>
      </c>
      <c r="D16" s="9">
        <f>+'11.F&amp;V Crop Production details'!D86</f>
        <v>0</v>
      </c>
      <c r="E16" s="9">
        <f>+'11.F&amp;V Crop Production details'!E86</f>
        <v>0</v>
      </c>
      <c r="F16" s="9">
        <f>+'11.F&amp;V Crop Production details'!F86</f>
        <v>0</v>
      </c>
      <c r="G16" s="9">
        <f>+'11.F&amp;V Crop Production details'!G86</f>
        <v>0</v>
      </c>
      <c r="H16" s="9">
        <f>+'11.F&amp;V Crop Production details'!H86</f>
        <v>0</v>
      </c>
    </row>
    <row r="17" spans="1:8" hidden="1">
      <c r="A17" s="9" t="str">
        <f>+'11.F&amp;V Crop Production details'!A87</f>
        <v>Exotic Vegitables</v>
      </c>
      <c r="B17" s="9">
        <f>+'11.F&amp;V Crop Production details'!B87</f>
        <v>0</v>
      </c>
      <c r="C17" s="9">
        <f>+'11.F&amp;V Crop Production details'!C87</f>
        <v>0</v>
      </c>
      <c r="D17" s="9">
        <f>+'11.F&amp;V Crop Production details'!D87</f>
        <v>0</v>
      </c>
      <c r="E17" s="9">
        <f>+'11.F&amp;V Crop Production details'!E87</f>
        <v>0</v>
      </c>
      <c r="F17" s="9">
        <f>+'11.F&amp;V Crop Production details'!F87</f>
        <v>0</v>
      </c>
      <c r="G17" s="9">
        <f>+'11.F&amp;V Crop Production details'!G87</f>
        <v>0</v>
      </c>
      <c r="H17" s="9">
        <f>+'11.F&amp;V Crop Production details'!H87</f>
        <v>0</v>
      </c>
    </row>
    <row r="18" spans="1:8" hidden="1">
      <c r="A18" s="9" t="str">
        <f>+'11.F&amp;V Crop Production details'!A88</f>
        <v>Tomato</v>
      </c>
      <c r="B18" s="9">
        <f>+'11.F&amp;V Crop Production details'!B88</f>
        <v>0</v>
      </c>
      <c r="C18" s="9">
        <f>+'11.F&amp;V Crop Production details'!C88</f>
        <v>0</v>
      </c>
      <c r="D18" s="9">
        <f>+'11.F&amp;V Crop Production details'!D88</f>
        <v>0</v>
      </c>
      <c r="E18" s="9">
        <f>+'11.F&amp;V Crop Production details'!E88</f>
        <v>0</v>
      </c>
      <c r="F18" s="9">
        <f>+'11.F&amp;V Crop Production details'!F88</f>
        <v>0</v>
      </c>
      <c r="G18" s="9">
        <f>+'11.F&amp;V Crop Production details'!G88</f>
        <v>0</v>
      </c>
      <c r="H18" s="9">
        <f>+'11.F&amp;V Crop Production details'!H88</f>
        <v>0</v>
      </c>
    </row>
    <row r="19" spans="1:8" hidden="1">
      <c r="A19" s="9" t="str">
        <f>+'11.F&amp;V Crop Production details'!A89</f>
        <v>Okra</v>
      </c>
      <c r="B19" s="9">
        <f>+'11.F&amp;V Crop Production details'!B89</f>
        <v>0</v>
      </c>
      <c r="C19" s="9">
        <f>+'11.F&amp;V Crop Production details'!C89</f>
        <v>0</v>
      </c>
      <c r="D19" s="9">
        <f>+'11.F&amp;V Crop Production details'!D89</f>
        <v>0</v>
      </c>
      <c r="E19" s="9">
        <f>+'11.F&amp;V Crop Production details'!E89</f>
        <v>0</v>
      </c>
      <c r="F19" s="9">
        <f>+'11.F&amp;V Crop Production details'!F89</f>
        <v>0</v>
      </c>
      <c r="G19" s="9">
        <f>+'11.F&amp;V Crop Production details'!G89</f>
        <v>0</v>
      </c>
      <c r="H19" s="9">
        <f>+'11.F&amp;V Crop Production details'!H89</f>
        <v>0</v>
      </c>
    </row>
    <row r="20" spans="1:8" hidden="1">
      <c r="A20" s="9" t="str">
        <f>+'11.F&amp;V Crop Production details'!A90</f>
        <v>Chilli</v>
      </c>
      <c r="B20" s="9">
        <f>+'11.F&amp;V Crop Production details'!B90</f>
        <v>0</v>
      </c>
      <c r="C20" s="9">
        <f>+'11.F&amp;V Crop Production details'!C90</f>
        <v>0</v>
      </c>
      <c r="D20" s="9">
        <f>+'11.F&amp;V Crop Production details'!D90</f>
        <v>0</v>
      </c>
      <c r="E20" s="9">
        <f>+'11.F&amp;V Crop Production details'!E90</f>
        <v>0</v>
      </c>
      <c r="F20" s="9">
        <f>+'11.F&amp;V Crop Production details'!F90</f>
        <v>0</v>
      </c>
      <c r="G20" s="9">
        <f>+'11.F&amp;V Crop Production details'!G90</f>
        <v>0</v>
      </c>
      <c r="H20" s="9">
        <f>+'11.F&amp;V Crop Production details'!H90</f>
        <v>0</v>
      </c>
    </row>
    <row r="21" spans="1:8" hidden="1">
      <c r="A21" s="9" t="str">
        <f>+'11.F&amp;V Crop Production details'!A91</f>
        <v>Brinjal</v>
      </c>
      <c r="B21" s="9">
        <f>+'11.F&amp;V Crop Production details'!B91</f>
        <v>0</v>
      </c>
      <c r="C21" s="9">
        <f>+'11.F&amp;V Crop Production details'!C91</f>
        <v>0</v>
      </c>
      <c r="D21" s="9">
        <f>+'11.F&amp;V Crop Production details'!D91</f>
        <v>0</v>
      </c>
      <c r="E21" s="9">
        <f>+'11.F&amp;V Crop Production details'!E91</f>
        <v>0</v>
      </c>
      <c r="F21" s="9">
        <f>+'11.F&amp;V Crop Production details'!F91</f>
        <v>0</v>
      </c>
      <c r="G21" s="9">
        <f>+'11.F&amp;V Crop Production details'!G91</f>
        <v>0</v>
      </c>
      <c r="H21" s="9">
        <f>+'11.F&amp;V Crop Production details'!H91</f>
        <v>0</v>
      </c>
    </row>
    <row r="22" spans="1:8" hidden="1">
      <c r="A22" s="9" t="str">
        <f>+'11.F&amp;V Crop Production details'!A92</f>
        <v>Ginger</v>
      </c>
      <c r="B22" s="9">
        <f>+'11.F&amp;V Crop Production details'!B92</f>
        <v>0</v>
      </c>
      <c r="C22" s="9">
        <f>+'11.F&amp;V Crop Production details'!C92</f>
        <v>0</v>
      </c>
      <c r="D22" s="9">
        <f>+'11.F&amp;V Crop Production details'!D92</f>
        <v>0</v>
      </c>
      <c r="E22" s="9">
        <f>+'11.F&amp;V Crop Production details'!E92</f>
        <v>0</v>
      </c>
      <c r="F22" s="9">
        <f>+'11.F&amp;V Crop Production details'!F92</f>
        <v>0</v>
      </c>
      <c r="G22" s="9">
        <f>+'11.F&amp;V Crop Production details'!G92</f>
        <v>0</v>
      </c>
      <c r="H22" s="9">
        <f>+'11.F&amp;V Crop Production details'!H92</f>
        <v>0</v>
      </c>
    </row>
    <row r="23" spans="1:8" hidden="1">
      <c r="A23" s="9">
        <f>+'11.F&amp;V Crop Production details'!A93</f>
        <v>0</v>
      </c>
      <c r="B23" s="9">
        <f>+'11.F&amp;V Crop Production details'!B93</f>
        <v>0</v>
      </c>
      <c r="C23" s="9">
        <f>+'11.F&amp;V Crop Production details'!C93</f>
        <v>0</v>
      </c>
      <c r="D23" s="9">
        <f>+'11.F&amp;V Crop Production details'!D93</f>
        <v>0</v>
      </c>
      <c r="E23" s="9">
        <f>+'11.F&amp;V Crop Production details'!E93</f>
        <v>0</v>
      </c>
      <c r="F23" s="9">
        <f>+'11.F&amp;V Crop Production details'!F93</f>
        <v>0</v>
      </c>
      <c r="G23" s="9">
        <f>+'11.F&amp;V Crop Production details'!G93</f>
        <v>0</v>
      </c>
      <c r="H23" s="9">
        <f>+'11.F&amp;V Crop Production details'!H93</f>
        <v>0</v>
      </c>
    </row>
    <row r="24" spans="1:8" hidden="1">
      <c r="A24" s="9">
        <f>+'11.F&amp;V Crop Production details'!A94</f>
        <v>0</v>
      </c>
      <c r="B24" s="9">
        <f>+'11.F&amp;V Crop Production details'!B94</f>
        <v>0</v>
      </c>
      <c r="C24" s="9">
        <f>+'11.F&amp;V Crop Production details'!C94</f>
        <v>0</v>
      </c>
      <c r="D24" s="9">
        <f>+'11.F&amp;V Crop Production details'!D94</f>
        <v>0</v>
      </c>
      <c r="E24" s="9">
        <f>+'11.F&amp;V Crop Production details'!E94</f>
        <v>0</v>
      </c>
      <c r="F24" s="9">
        <f>+'11.F&amp;V Crop Production details'!F94</f>
        <v>0</v>
      </c>
      <c r="G24" s="9">
        <f>+'11.F&amp;V Crop Production details'!G94</f>
        <v>0</v>
      </c>
      <c r="H24" s="9">
        <f>+'11.F&amp;V Crop Production details'!H94</f>
        <v>0</v>
      </c>
    </row>
    <row r="25" spans="1:8" hidden="1">
      <c r="A25" s="9" t="str">
        <f>+'11.F&amp;V Crop Production details'!A95</f>
        <v>Spinach</v>
      </c>
      <c r="B25" s="9">
        <f>+'11.F&amp;V Crop Production details'!B95</f>
        <v>0</v>
      </c>
      <c r="C25" s="9">
        <f>+'11.F&amp;V Crop Production details'!C95</f>
        <v>0</v>
      </c>
      <c r="D25" s="9">
        <f>+'11.F&amp;V Crop Production details'!D95</f>
        <v>0</v>
      </c>
      <c r="E25" s="9">
        <f>+'11.F&amp;V Crop Production details'!E95</f>
        <v>0</v>
      </c>
      <c r="F25" s="9">
        <f>+'11.F&amp;V Crop Production details'!F95</f>
        <v>0</v>
      </c>
      <c r="G25" s="9">
        <f>+'11.F&amp;V Crop Production details'!G95</f>
        <v>0</v>
      </c>
      <c r="H25" s="9">
        <f>+'11.F&amp;V Crop Production details'!H95</f>
        <v>0</v>
      </c>
    </row>
    <row r="26" spans="1:8" hidden="1">
      <c r="A26" s="9" t="str">
        <f>+'11.F&amp;V Crop Production details'!A96</f>
        <v>Fenugreek</v>
      </c>
      <c r="B26" s="9">
        <f>+'11.F&amp;V Crop Production details'!B96</f>
        <v>0</v>
      </c>
      <c r="C26" s="9">
        <f>+'11.F&amp;V Crop Production details'!C96</f>
        <v>0</v>
      </c>
      <c r="D26" s="9">
        <f>+'11.F&amp;V Crop Production details'!D96</f>
        <v>0</v>
      </c>
      <c r="E26" s="9">
        <f>+'11.F&amp;V Crop Production details'!E96</f>
        <v>0</v>
      </c>
      <c r="F26" s="9">
        <f>+'11.F&amp;V Crop Production details'!F96</f>
        <v>0</v>
      </c>
      <c r="G26" s="9">
        <f>+'11.F&amp;V Crop Production details'!G96</f>
        <v>0</v>
      </c>
      <c r="H26" s="9">
        <f>+'11.F&amp;V Crop Production details'!H96</f>
        <v>0</v>
      </c>
    </row>
    <row r="27" spans="1:8" hidden="1">
      <c r="A27" s="9" t="str">
        <f>+'11.F&amp;V Crop Production details'!A97</f>
        <v>coriander</v>
      </c>
      <c r="B27" s="9">
        <f>+'11.F&amp;V Crop Production details'!B97</f>
        <v>0</v>
      </c>
      <c r="C27" s="9">
        <f>+'11.F&amp;V Crop Production details'!C97</f>
        <v>0</v>
      </c>
      <c r="D27" s="9">
        <f>+'11.F&amp;V Crop Production details'!D97</f>
        <v>0</v>
      </c>
      <c r="E27" s="9">
        <f>+'11.F&amp;V Crop Production details'!E97</f>
        <v>0</v>
      </c>
      <c r="F27" s="9">
        <f>+'11.F&amp;V Crop Production details'!F97</f>
        <v>0</v>
      </c>
      <c r="G27" s="9">
        <f>+'11.F&amp;V Crop Production details'!G97</f>
        <v>0</v>
      </c>
      <c r="H27" s="9">
        <f>+'11.F&amp;V Crop Production details'!H97</f>
        <v>0</v>
      </c>
    </row>
    <row r="28" spans="1:8" hidden="1">
      <c r="A28" s="9" t="str">
        <f>+'11.F&amp;V Crop Production details'!A98</f>
        <v>Shepu</v>
      </c>
      <c r="B28" s="9">
        <f>+'11.F&amp;V Crop Production details'!B98</f>
        <v>0</v>
      </c>
      <c r="C28" s="9">
        <f>+'11.F&amp;V Crop Production details'!C98</f>
        <v>0</v>
      </c>
      <c r="D28" s="9">
        <f>+'11.F&amp;V Crop Production details'!D98</f>
        <v>0</v>
      </c>
      <c r="E28" s="9">
        <f>+'11.F&amp;V Crop Production details'!E98</f>
        <v>0</v>
      </c>
      <c r="F28" s="9">
        <f>+'11.F&amp;V Crop Production details'!F98</f>
        <v>0</v>
      </c>
      <c r="G28" s="9">
        <f>+'11.F&amp;V Crop Production details'!G98</f>
        <v>0</v>
      </c>
      <c r="H28" s="9">
        <f>+'11.F&amp;V Crop Production details'!H98</f>
        <v>0</v>
      </c>
    </row>
    <row r="29" spans="1:8" hidden="1">
      <c r="A29" s="9">
        <f>+'11.F&amp;V Crop Production details'!A99</f>
        <v>0</v>
      </c>
      <c r="B29" s="9"/>
      <c r="C29" s="9"/>
      <c r="D29" s="9"/>
      <c r="E29" s="9"/>
      <c r="F29" s="9"/>
      <c r="G29" s="9"/>
      <c r="H29" s="9"/>
    </row>
    <row r="30" spans="1:8" hidden="1">
      <c r="A30" s="9" t="str">
        <f>+'11.F&amp;V Crop Production details'!A100</f>
        <v>Pomegranate</v>
      </c>
      <c r="B30" s="9">
        <f>+'11.F&amp;V Crop Production details'!B100</f>
        <v>0</v>
      </c>
      <c r="C30" s="9">
        <f>+'11.F&amp;V Crop Production details'!C100</f>
        <v>0</v>
      </c>
      <c r="D30" s="9">
        <f>+'11.F&amp;V Crop Production details'!D100</f>
        <v>0</v>
      </c>
      <c r="E30" s="9">
        <f>+'11.F&amp;V Crop Production details'!E100</f>
        <v>0</v>
      </c>
      <c r="F30" s="9">
        <f>+'11.F&amp;V Crop Production details'!F100</f>
        <v>0</v>
      </c>
      <c r="G30" s="9">
        <f>+'11.F&amp;V Crop Production details'!G100</f>
        <v>0</v>
      </c>
      <c r="H30" s="9">
        <f>+'11.F&amp;V Crop Production details'!H100</f>
        <v>0</v>
      </c>
    </row>
    <row r="31" spans="1:8" hidden="1">
      <c r="A31" s="9" t="str">
        <f>+'11.F&amp;V Crop Production details'!A101</f>
        <v>Banana</v>
      </c>
      <c r="B31" s="9">
        <f>+'11.F&amp;V Crop Production details'!B101</f>
        <v>0</v>
      </c>
      <c r="C31" s="9">
        <f>+'11.F&amp;V Crop Production details'!C101</f>
        <v>0</v>
      </c>
      <c r="D31" s="9">
        <f>+'11.F&amp;V Crop Production details'!D101</f>
        <v>0</v>
      </c>
      <c r="E31" s="9">
        <f>+'11.F&amp;V Crop Production details'!E101</f>
        <v>0</v>
      </c>
      <c r="F31" s="9">
        <f>+'11.F&amp;V Crop Production details'!F101</f>
        <v>0</v>
      </c>
      <c r="G31" s="9">
        <f>+'11.F&amp;V Crop Production details'!G101</f>
        <v>0</v>
      </c>
      <c r="H31" s="9">
        <f>+'11.F&amp;V Crop Production details'!H101</f>
        <v>0</v>
      </c>
    </row>
    <row r="32" spans="1:8" hidden="1">
      <c r="A32" s="9" t="str">
        <f>+'11.F&amp;V Crop Production details'!A102</f>
        <v>Graps</v>
      </c>
      <c r="B32" s="9">
        <f>+'11.F&amp;V Crop Production details'!B102</f>
        <v>0</v>
      </c>
      <c r="C32" s="9">
        <f>+'11.F&amp;V Crop Production details'!C102</f>
        <v>0</v>
      </c>
      <c r="D32" s="9">
        <f>+'11.F&amp;V Crop Production details'!D102</f>
        <v>0</v>
      </c>
      <c r="E32" s="9">
        <f>+'11.F&amp;V Crop Production details'!E102</f>
        <v>0</v>
      </c>
      <c r="F32" s="9">
        <f>+'11.F&amp;V Crop Production details'!F102</f>
        <v>0</v>
      </c>
      <c r="G32" s="9">
        <f>+'11.F&amp;V Crop Production details'!G102</f>
        <v>0</v>
      </c>
      <c r="H32" s="9">
        <f>+'11.F&amp;V Crop Production details'!H102</f>
        <v>0</v>
      </c>
    </row>
    <row r="33" spans="1:16" hidden="1">
      <c r="A33" s="9" t="str">
        <f>+'11.F&amp;V Crop Production details'!A104</f>
        <v>Citrus</v>
      </c>
      <c r="B33" s="9">
        <f>+'11.F&amp;V Crop Production details'!B104</f>
        <v>0</v>
      </c>
      <c r="C33" s="9">
        <f>+'11.F&amp;V Crop Production details'!C104</f>
        <v>0</v>
      </c>
      <c r="D33" s="9">
        <f>+'11.F&amp;V Crop Production details'!D104</f>
        <v>0</v>
      </c>
      <c r="E33" s="9">
        <f>+'11.F&amp;V Crop Production details'!E104</f>
        <v>0</v>
      </c>
      <c r="F33" s="9">
        <f>+'11.F&amp;V Crop Production details'!F104</f>
        <v>0</v>
      </c>
      <c r="G33" s="9">
        <f>+'11.F&amp;V Crop Production details'!G104</f>
        <v>0</v>
      </c>
      <c r="H33" s="9">
        <f>+'11.F&amp;V Crop Production details'!H104</f>
        <v>0</v>
      </c>
    </row>
    <row r="34" spans="1:16" ht="18.75">
      <c r="A34" s="405"/>
      <c r="B34" s="405"/>
      <c r="C34" s="405"/>
      <c r="D34" s="405"/>
      <c r="E34" s="405"/>
      <c r="F34" s="405"/>
      <c r="G34" s="405"/>
      <c r="H34" s="405"/>
    </row>
    <row r="35" spans="1:16">
      <c r="A35" s="68" t="s">
        <v>1725</v>
      </c>
      <c r="B35" s="194">
        <v>1000</v>
      </c>
      <c r="C35" s="151" t="s">
        <v>301</v>
      </c>
      <c r="D35" s="151"/>
      <c r="E35" s="151"/>
      <c r="F35" s="151"/>
      <c r="G35" s="68"/>
      <c r="H35" s="68"/>
    </row>
    <row r="36" spans="1:16">
      <c r="A36" s="68" t="s">
        <v>1726</v>
      </c>
      <c r="B36" s="194">
        <v>250</v>
      </c>
      <c r="C36" s="151" t="s">
        <v>301</v>
      </c>
      <c r="D36" s="151"/>
      <c r="E36" s="151"/>
      <c r="F36" s="151"/>
      <c r="G36" s="68"/>
      <c r="H36" s="68"/>
    </row>
    <row r="37" spans="1:16">
      <c r="A37" s="68" t="s">
        <v>1727</v>
      </c>
      <c r="B37" s="194">
        <v>750</v>
      </c>
      <c r="C37" s="151" t="s">
        <v>301</v>
      </c>
      <c r="D37" s="151"/>
      <c r="E37" s="151"/>
      <c r="F37" s="151"/>
      <c r="G37" s="68"/>
      <c r="H37" s="68"/>
    </row>
    <row r="38" spans="1:16">
      <c r="A38" s="68" t="s">
        <v>1708</v>
      </c>
      <c r="B38" s="194">
        <v>30</v>
      </c>
      <c r="C38" s="151" t="s">
        <v>301</v>
      </c>
      <c r="D38" s="151"/>
      <c r="E38" s="151"/>
      <c r="F38" s="151"/>
      <c r="G38" s="68"/>
      <c r="H38" s="68"/>
    </row>
    <row r="39" spans="1:16">
      <c r="A39" s="68" t="s">
        <v>1709</v>
      </c>
      <c r="B39" s="194">
        <v>100</v>
      </c>
      <c r="C39" s="151" t="s">
        <v>301</v>
      </c>
      <c r="D39" s="151"/>
      <c r="E39" s="151"/>
      <c r="F39" s="151"/>
      <c r="G39" s="68"/>
      <c r="H39" s="68"/>
    </row>
    <row r="40" spans="1:16" ht="6" customHeight="1">
      <c r="A40" s="68"/>
      <c r="B40" s="152"/>
      <c r="C40" s="68"/>
      <c r="D40" s="68"/>
      <c r="E40" s="68"/>
      <c r="F40" s="68"/>
      <c r="G40" s="68"/>
      <c r="H40" s="68"/>
    </row>
    <row r="41" spans="1:16">
      <c r="A41" s="68" t="s">
        <v>303</v>
      </c>
      <c r="B41" s="153">
        <v>12</v>
      </c>
      <c r="C41" s="68"/>
      <c r="D41" s="153"/>
      <c r="E41" s="153"/>
      <c r="F41" s="68"/>
      <c r="G41" s="68"/>
      <c r="H41" s="68"/>
      <c r="L41">
        <v>1000</v>
      </c>
      <c r="M41">
        <f>+L41*1000</f>
        <v>1000000</v>
      </c>
      <c r="P41">
        <f>60*100</f>
        <v>6000</v>
      </c>
    </row>
    <row r="42" spans="1:16" ht="15" customHeight="1">
      <c r="A42" s="68"/>
      <c r="B42" s="84">
        <f>(B8+B12+B17+B30+B31+B32+B33)*100/1000</f>
        <v>0</v>
      </c>
      <c r="C42" s="84">
        <f t="shared" ref="C42:H42" si="1">(C8+C12+C17+C30+C31+C32+C33)*100/1000</f>
        <v>0</v>
      </c>
      <c r="D42" s="84">
        <f t="shared" si="1"/>
        <v>0</v>
      </c>
      <c r="E42" s="84">
        <f t="shared" si="1"/>
        <v>0</v>
      </c>
      <c r="F42" s="84">
        <f t="shared" si="1"/>
        <v>0</v>
      </c>
      <c r="G42" s="84">
        <f t="shared" si="1"/>
        <v>0</v>
      </c>
      <c r="H42" s="84">
        <f t="shared" si="1"/>
        <v>0</v>
      </c>
    </row>
    <row r="43" spans="1:16">
      <c r="A43" s="119" t="s">
        <v>127</v>
      </c>
      <c r="B43" s="91" t="s">
        <v>2</v>
      </c>
      <c r="C43" s="91" t="s">
        <v>3</v>
      </c>
      <c r="D43" s="91" t="s">
        <v>4</v>
      </c>
      <c r="E43" s="91" t="s">
        <v>5</v>
      </c>
      <c r="F43" s="91" t="s">
        <v>6</v>
      </c>
      <c r="G43" s="91" t="s">
        <v>170</v>
      </c>
      <c r="H43" s="91" t="s">
        <v>169</v>
      </c>
      <c r="L43">
        <f>900*1000</f>
        <v>900000</v>
      </c>
    </row>
    <row r="44" spans="1:16">
      <c r="A44" s="69" t="s">
        <v>304</v>
      </c>
      <c r="B44" s="204">
        <v>0.75</v>
      </c>
      <c r="C44" s="204">
        <f>B44+5%</f>
        <v>0.8</v>
      </c>
      <c r="D44" s="204">
        <f>C44+5%</f>
        <v>0.85000000000000009</v>
      </c>
      <c r="E44" s="204">
        <f>D44+5%</f>
        <v>0.90000000000000013</v>
      </c>
      <c r="F44" s="204">
        <f>E44+5%</f>
        <v>0.95000000000000018</v>
      </c>
      <c r="G44" s="204">
        <f>F44</f>
        <v>0.95000000000000018</v>
      </c>
      <c r="H44" s="204">
        <f>G44</f>
        <v>0.95000000000000018</v>
      </c>
      <c r="L44">
        <v>1</v>
      </c>
    </row>
    <row r="45" spans="1:16">
      <c r="A45" s="69" t="s">
        <v>326</v>
      </c>
      <c r="B45" s="155">
        <f>$B$37*B44*$B$41</f>
        <v>6750</v>
      </c>
      <c r="C45" s="155">
        <f t="shared" ref="C45:H45" si="2">$B$37*C44*$B$41</f>
        <v>7200</v>
      </c>
      <c r="D45" s="155">
        <f t="shared" si="2"/>
        <v>7650.0000000000018</v>
      </c>
      <c r="E45" s="155">
        <f t="shared" si="2"/>
        <v>8100.0000000000018</v>
      </c>
      <c r="F45" s="155">
        <f t="shared" si="2"/>
        <v>8550.0000000000018</v>
      </c>
      <c r="G45" s="155">
        <f t="shared" si="2"/>
        <v>8550.0000000000018</v>
      </c>
      <c r="H45" s="155">
        <f t="shared" si="2"/>
        <v>8550.0000000000018</v>
      </c>
      <c r="L45">
        <f>+L43*L44</f>
        <v>900000</v>
      </c>
    </row>
    <row r="46" spans="1:16">
      <c r="A46" s="69" t="s">
        <v>1710</v>
      </c>
      <c r="B46" s="9">
        <f>+$B$38*300*B44</f>
        <v>6750</v>
      </c>
      <c r="C46" s="9">
        <f t="shared" ref="C46:H46" si="3">+$B$38*300*C44</f>
        <v>7200</v>
      </c>
      <c r="D46" s="9">
        <f t="shared" si="3"/>
        <v>7650.0000000000009</v>
      </c>
      <c r="E46" s="9">
        <f t="shared" si="3"/>
        <v>8100.0000000000009</v>
      </c>
      <c r="F46" s="9">
        <f t="shared" si="3"/>
        <v>8550.0000000000018</v>
      </c>
      <c r="G46" s="9">
        <f t="shared" si="3"/>
        <v>8550.0000000000018</v>
      </c>
      <c r="H46" s="9">
        <f t="shared" si="3"/>
        <v>8550.0000000000018</v>
      </c>
    </row>
    <row r="47" spans="1:16">
      <c r="A47" s="69" t="s">
        <v>1711</v>
      </c>
      <c r="B47" s="9">
        <v>1000</v>
      </c>
      <c r="C47" s="9">
        <f t="shared" ref="C47:H47" si="4">+$B$39*12*C44</f>
        <v>960</v>
      </c>
      <c r="D47" s="9">
        <f t="shared" si="4"/>
        <v>1020.0000000000001</v>
      </c>
      <c r="E47" s="9">
        <f t="shared" si="4"/>
        <v>1080.0000000000002</v>
      </c>
      <c r="F47" s="9">
        <f t="shared" si="4"/>
        <v>1140.0000000000002</v>
      </c>
      <c r="G47" s="9">
        <f t="shared" si="4"/>
        <v>1140.0000000000002</v>
      </c>
      <c r="H47" s="9">
        <f t="shared" si="4"/>
        <v>1140.0000000000002</v>
      </c>
      <c r="L47">
        <f>750*12</f>
        <v>9000</v>
      </c>
      <c r="O47">
        <f>5000/25</f>
        <v>200</v>
      </c>
      <c r="P47">
        <f>+O47*5</f>
        <v>1000</v>
      </c>
    </row>
    <row r="48" spans="1:16" ht="3.75" customHeight="1">
      <c r="L48">
        <v>1000</v>
      </c>
    </row>
    <row r="49" spans="1:15" ht="3.75" customHeight="1">
      <c r="L49">
        <f>+L47*L48</f>
        <v>9000000</v>
      </c>
    </row>
    <row r="50" spans="1:15" ht="18.75">
      <c r="A50" s="724" t="s">
        <v>1662</v>
      </c>
      <c r="B50" s="724"/>
      <c r="C50" s="724"/>
      <c r="D50" s="724"/>
      <c r="E50" s="724"/>
      <c r="F50" s="724"/>
      <c r="G50" s="724"/>
      <c r="H50" s="724"/>
      <c r="I50" s="724"/>
      <c r="J50" s="724"/>
    </row>
    <row r="51" spans="1:15" ht="5.25" customHeight="1">
      <c r="A51" s="11"/>
      <c r="B51" s="11"/>
      <c r="C51" s="11"/>
      <c r="D51" s="11"/>
      <c r="E51" s="11"/>
      <c r="F51" s="11"/>
      <c r="G51" s="11"/>
      <c r="H51" s="11"/>
    </row>
    <row r="52" spans="1:15">
      <c r="A52" s="68"/>
      <c r="B52" s="68"/>
      <c r="C52" s="68"/>
      <c r="D52" s="148">
        <v>1</v>
      </c>
      <c r="E52" s="146">
        <f t="shared" ref="E52:J52" si="5">(D52*5%)+D52</f>
        <v>1.05</v>
      </c>
      <c r="F52" s="146">
        <f t="shared" si="5"/>
        <v>1.1025</v>
      </c>
      <c r="G52" s="146">
        <f t="shared" si="5"/>
        <v>1.1576250000000001</v>
      </c>
      <c r="H52" s="146">
        <f t="shared" si="5"/>
        <v>1.2155062500000002</v>
      </c>
      <c r="I52" s="146">
        <f t="shared" si="5"/>
        <v>1.2762815625000004</v>
      </c>
      <c r="J52" s="146">
        <f t="shared" si="5"/>
        <v>1.3400956406250004</v>
      </c>
      <c r="M52">
        <v>100</v>
      </c>
    </row>
    <row r="53" spans="1:15">
      <c r="A53" s="119" t="s">
        <v>0</v>
      </c>
      <c r="B53" s="119" t="s">
        <v>132</v>
      </c>
      <c r="C53" s="119" t="s">
        <v>153</v>
      </c>
      <c r="D53" s="91" t="s">
        <v>2</v>
      </c>
      <c r="E53" s="91" t="s">
        <v>3</v>
      </c>
      <c r="F53" s="91" t="s">
        <v>4</v>
      </c>
      <c r="G53" s="91" t="s">
        <v>5</v>
      </c>
      <c r="H53" s="91" t="s">
        <v>6</v>
      </c>
      <c r="I53" s="91" t="s">
        <v>170</v>
      </c>
      <c r="J53" s="91" t="s">
        <v>169</v>
      </c>
      <c r="M53">
        <v>24</v>
      </c>
      <c r="O53">
        <v>10</v>
      </c>
    </row>
    <row r="54" spans="1:15" ht="5.25" customHeight="1">
      <c r="A54" s="69"/>
      <c r="B54" s="69"/>
      <c r="C54" s="69"/>
      <c r="D54" s="69"/>
      <c r="E54" s="69"/>
      <c r="F54" s="69"/>
      <c r="G54" s="69"/>
      <c r="H54" s="69"/>
      <c r="I54" s="69"/>
      <c r="J54" s="69"/>
      <c r="M54">
        <f>+M52*M53</f>
        <v>2400</v>
      </c>
      <c r="O54">
        <v>100</v>
      </c>
    </row>
    <row r="55" spans="1:15">
      <c r="A55" s="71" t="s">
        <v>1660</v>
      </c>
      <c r="B55" s="71"/>
      <c r="C55" s="71"/>
      <c r="D55" s="69"/>
      <c r="E55" s="69"/>
      <c r="F55" s="69"/>
      <c r="G55" s="69"/>
      <c r="H55" s="69"/>
      <c r="I55" s="69"/>
      <c r="J55" s="69"/>
      <c r="M55">
        <v>9</v>
      </c>
      <c r="O55">
        <f>+O53*O54</f>
        <v>1000</v>
      </c>
    </row>
    <row r="56" spans="1:15">
      <c r="A56" s="69" t="s">
        <v>1706</v>
      </c>
      <c r="B56" s="71"/>
      <c r="C56" s="71">
        <v>35</v>
      </c>
      <c r="D56" s="159">
        <f>((B46*$C$56)*D52)*12</f>
        <v>2835000</v>
      </c>
      <c r="E56" s="159">
        <f t="shared" ref="E56:J56" si="6">((C46*$C$56)*E52)*12</f>
        <v>3175200</v>
      </c>
      <c r="F56" s="159">
        <f t="shared" si="6"/>
        <v>3542332.5000000009</v>
      </c>
      <c r="G56" s="159">
        <f t="shared" si="6"/>
        <v>3938240.2500000014</v>
      </c>
      <c r="H56" s="159">
        <f t="shared" si="6"/>
        <v>4364882.9437500015</v>
      </c>
      <c r="I56" s="159">
        <f t="shared" si="6"/>
        <v>4583127.0909375018</v>
      </c>
      <c r="J56" s="159">
        <f t="shared" si="6"/>
        <v>4812283.4454843774</v>
      </c>
      <c r="O56">
        <f>+O55*30</f>
        <v>30000</v>
      </c>
    </row>
    <row r="57" spans="1:15">
      <c r="A57" s="69" t="s">
        <v>1707</v>
      </c>
      <c r="B57" s="71"/>
      <c r="C57" s="71">
        <v>50</v>
      </c>
      <c r="D57" s="159">
        <f>((B47*$C$57)*D52)*12</f>
        <v>600000</v>
      </c>
      <c r="E57" s="159">
        <f t="shared" ref="E57:J57" si="7">((C47*$C$57)*E52)*12</f>
        <v>604800</v>
      </c>
      <c r="F57" s="159">
        <f t="shared" si="7"/>
        <v>674730.00000000012</v>
      </c>
      <c r="G57" s="159">
        <f t="shared" si="7"/>
        <v>750141.00000000023</v>
      </c>
      <c r="H57" s="159">
        <f t="shared" si="7"/>
        <v>831406.27500000037</v>
      </c>
      <c r="I57" s="159">
        <f t="shared" si="7"/>
        <v>872976.58875000046</v>
      </c>
      <c r="J57" s="159">
        <f t="shared" si="7"/>
        <v>916625.41818750044</v>
      </c>
    </row>
    <row r="58" spans="1:15">
      <c r="A58" s="69" t="s">
        <v>328</v>
      </c>
      <c r="B58" s="69"/>
      <c r="C58" s="159">
        <v>60</v>
      </c>
      <c r="D58" s="159">
        <f>((B45*$C$58)*D52)*12</f>
        <v>4860000</v>
      </c>
      <c r="E58" s="159">
        <f t="shared" ref="E58:J58" si="8">((C45*$C$58)*E52)*12</f>
        <v>5443200</v>
      </c>
      <c r="F58" s="159">
        <f t="shared" si="8"/>
        <v>6072570.0000000019</v>
      </c>
      <c r="G58" s="159">
        <f t="shared" si="8"/>
        <v>6751269.0000000028</v>
      </c>
      <c r="H58" s="159">
        <f t="shared" si="8"/>
        <v>7482656.4750000034</v>
      </c>
      <c r="I58" s="159">
        <f t="shared" si="8"/>
        <v>7856789.2987500038</v>
      </c>
      <c r="J58" s="159">
        <f t="shared" si="8"/>
        <v>8249628.7636875045</v>
      </c>
      <c r="M58">
        <f>+M54*M55</f>
        <v>21600</v>
      </c>
    </row>
    <row r="59" spans="1:15" hidden="1">
      <c r="A59" s="69"/>
      <c r="B59" s="69"/>
      <c r="C59" s="159"/>
      <c r="D59" s="159"/>
      <c r="E59" s="159"/>
      <c r="F59" s="159"/>
      <c r="G59" s="159"/>
      <c r="H59" s="159"/>
      <c r="I59" s="159"/>
      <c r="J59" s="159"/>
    </row>
    <row r="60" spans="1:15" hidden="1">
      <c r="A60" s="69"/>
      <c r="B60" s="69"/>
      <c r="C60" s="159"/>
      <c r="D60" s="159"/>
      <c r="E60" s="159"/>
      <c r="F60" s="159"/>
      <c r="G60" s="159"/>
      <c r="H60" s="159"/>
      <c r="I60" s="159"/>
      <c r="J60" s="159"/>
    </row>
    <row r="61" spans="1:15" hidden="1">
      <c r="A61" s="69"/>
      <c r="B61" s="69"/>
      <c r="C61" s="159"/>
      <c r="D61" s="159"/>
      <c r="E61" s="70"/>
      <c r="F61" s="70"/>
      <c r="G61" s="70"/>
      <c r="H61" s="70"/>
      <c r="I61" s="70"/>
      <c r="J61" s="70"/>
      <c r="M61">
        <v>30</v>
      </c>
    </row>
    <row r="62" spans="1:15">
      <c r="A62" s="71" t="s">
        <v>143</v>
      </c>
      <c r="B62" s="71"/>
      <c r="C62" s="580"/>
      <c r="D62" s="580">
        <f>SUM(D56:D58)</f>
        <v>8295000</v>
      </c>
      <c r="E62" s="580">
        <f t="shared" ref="E62:J62" si="9">SUM(E56:E58)</f>
        <v>9223200</v>
      </c>
      <c r="F62" s="580">
        <f t="shared" si="9"/>
        <v>10289632.500000004</v>
      </c>
      <c r="G62" s="580">
        <f t="shared" si="9"/>
        <v>11439650.250000004</v>
      </c>
      <c r="H62" s="580">
        <f t="shared" si="9"/>
        <v>12678945.693750005</v>
      </c>
      <c r="I62" s="580">
        <f t="shared" si="9"/>
        <v>13312892.978437506</v>
      </c>
      <c r="J62" s="580">
        <f t="shared" si="9"/>
        <v>13978537.627359383</v>
      </c>
      <c r="M62">
        <f>+M58*M61</f>
        <v>648000</v>
      </c>
    </row>
    <row r="63" spans="1:15">
      <c r="A63" s="69"/>
      <c r="B63" s="69"/>
      <c r="C63" s="159"/>
      <c r="D63" s="159"/>
      <c r="E63" s="70"/>
      <c r="F63" s="70"/>
      <c r="G63" s="70"/>
      <c r="H63" s="70"/>
      <c r="I63" s="70"/>
      <c r="J63" s="70"/>
    </row>
    <row r="64" spans="1:15">
      <c r="A64" s="71" t="s">
        <v>142</v>
      </c>
      <c r="B64" s="71"/>
      <c r="C64" s="159"/>
      <c r="D64" s="159"/>
      <c r="E64" s="70"/>
      <c r="F64" s="70"/>
      <c r="G64" s="70"/>
      <c r="H64" s="70"/>
      <c r="I64" s="70"/>
      <c r="J64" s="70"/>
    </row>
    <row r="65" spans="1:15">
      <c r="A65" s="71" t="s">
        <v>314</v>
      </c>
      <c r="B65" s="71"/>
      <c r="C65" s="159"/>
      <c r="D65" s="159"/>
      <c r="E65" s="70"/>
      <c r="F65" s="70"/>
      <c r="G65" s="70"/>
      <c r="H65" s="70"/>
      <c r="I65" s="70"/>
      <c r="J65" s="70"/>
    </row>
    <row r="66" spans="1:15" hidden="1">
      <c r="A66" s="69" t="s">
        <v>305</v>
      </c>
      <c r="B66" s="69" t="s">
        <v>301</v>
      </c>
      <c r="C66" s="159">
        <v>0</v>
      </c>
      <c r="D66" s="159">
        <f>$B$35*$C$66*D52*4</f>
        <v>0</v>
      </c>
      <c r="E66" s="70">
        <f t="shared" ref="E66:J66" si="10">$B$35*$C$66*E52*4</f>
        <v>0</v>
      </c>
      <c r="F66" s="70">
        <f t="shared" si="10"/>
        <v>0</v>
      </c>
      <c r="G66" s="70">
        <f t="shared" si="10"/>
        <v>0</v>
      </c>
      <c r="H66" s="70">
        <f t="shared" si="10"/>
        <v>0</v>
      </c>
      <c r="I66" s="70">
        <f t="shared" si="10"/>
        <v>0</v>
      </c>
      <c r="J66" s="70">
        <f t="shared" si="10"/>
        <v>0</v>
      </c>
      <c r="M66">
        <f>5000/30</f>
        <v>166.66666666666666</v>
      </c>
    </row>
    <row r="67" spans="1:15" hidden="1">
      <c r="A67" s="69" t="s">
        <v>306</v>
      </c>
      <c r="B67" s="69" t="s">
        <v>301</v>
      </c>
      <c r="C67" s="159">
        <v>0</v>
      </c>
      <c r="D67" s="159">
        <f>$B$35*$C$67*D52*12</f>
        <v>0</v>
      </c>
      <c r="E67" s="70">
        <f t="shared" ref="E67:J67" si="11">$B$35*$C$67*E52*12</f>
        <v>0</v>
      </c>
      <c r="F67" s="70">
        <f t="shared" si="11"/>
        <v>0</v>
      </c>
      <c r="G67" s="70">
        <f t="shared" si="11"/>
        <v>0</v>
      </c>
      <c r="H67" s="70">
        <f t="shared" si="11"/>
        <v>0</v>
      </c>
      <c r="I67" s="70">
        <f t="shared" si="11"/>
        <v>0</v>
      </c>
      <c r="J67" s="70">
        <f t="shared" si="11"/>
        <v>0</v>
      </c>
      <c r="M67">
        <f>+M66/9</f>
        <v>18.518518518518519</v>
      </c>
      <c r="N67">
        <f>+M67/8</f>
        <v>2.3148148148148149</v>
      </c>
    </row>
    <row r="68" spans="1:15">
      <c r="A68" s="69" t="s">
        <v>307</v>
      </c>
      <c r="B68" s="69">
        <f>20*24</f>
        <v>480</v>
      </c>
      <c r="C68" s="159">
        <v>9</v>
      </c>
      <c r="D68" s="159">
        <f t="shared" ref="D68:J68" si="12">+((($B$68*$C$68)*30)*12)*D52</f>
        <v>1555200</v>
      </c>
      <c r="E68" s="159">
        <f t="shared" si="12"/>
        <v>1632960</v>
      </c>
      <c r="F68" s="159">
        <f t="shared" si="12"/>
        <v>1714608</v>
      </c>
      <c r="G68" s="159">
        <f t="shared" si="12"/>
        <v>1800338.4000000001</v>
      </c>
      <c r="H68" s="159">
        <f t="shared" si="12"/>
        <v>1890355.3200000003</v>
      </c>
      <c r="I68" s="159">
        <f t="shared" si="12"/>
        <v>1984873.0860000006</v>
      </c>
      <c r="J68" s="159">
        <f t="shared" si="12"/>
        <v>2084116.7403000006</v>
      </c>
      <c r="L68" s="555">
        <f>5*9</f>
        <v>45</v>
      </c>
      <c r="M68">
        <f>+L68*30</f>
        <v>1350</v>
      </c>
    </row>
    <row r="69" spans="1:15">
      <c r="A69" s="69" t="s">
        <v>815</v>
      </c>
      <c r="B69" s="69">
        <v>16</v>
      </c>
      <c r="C69" s="159">
        <v>8000</v>
      </c>
      <c r="D69" s="159">
        <f>$B$41*$B$69*$C$69*D52</f>
        <v>1536000</v>
      </c>
      <c r="E69" s="70">
        <f t="shared" ref="E69:J69" si="13">$B$41*$B$69*$C$69*E52</f>
        <v>1612800</v>
      </c>
      <c r="F69" s="70">
        <f t="shared" si="13"/>
        <v>1693440</v>
      </c>
      <c r="G69" s="70">
        <f t="shared" si="13"/>
        <v>1778112.0000000002</v>
      </c>
      <c r="H69" s="70">
        <f t="shared" si="13"/>
        <v>1867017.6000000003</v>
      </c>
      <c r="I69" s="70">
        <f t="shared" si="13"/>
        <v>1960368.4800000004</v>
      </c>
      <c r="J69" s="70">
        <f t="shared" si="13"/>
        <v>2058386.9040000006</v>
      </c>
    </row>
    <row r="70" spans="1:15">
      <c r="A70" s="69"/>
      <c r="B70" s="69"/>
      <c r="C70" s="159"/>
      <c r="D70" s="159"/>
      <c r="E70" s="70"/>
      <c r="F70" s="70"/>
      <c r="G70" s="70"/>
      <c r="H70" s="70"/>
      <c r="I70" s="70"/>
      <c r="J70" s="70"/>
    </row>
    <row r="71" spans="1:15">
      <c r="A71" s="69"/>
      <c r="B71" s="69"/>
      <c r="C71" s="159"/>
      <c r="D71" s="159"/>
      <c r="E71" s="70"/>
      <c r="F71" s="70"/>
      <c r="G71" s="70"/>
      <c r="H71" s="70"/>
      <c r="I71" s="70"/>
      <c r="J71" s="70"/>
      <c r="M71">
        <v>40</v>
      </c>
      <c r="O71">
        <v>220000</v>
      </c>
    </row>
    <row r="72" spans="1:15">
      <c r="A72" s="69"/>
      <c r="B72" s="69"/>
      <c r="C72" s="159"/>
      <c r="D72" s="159"/>
      <c r="E72" s="70"/>
      <c r="F72" s="70"/>
      <c r="G72" s="70"/>
      <c r="H72" s="70"/>
      <c r="I72" s="70"/>
      <c r="J72" s="70"/>
      <c r="M72">
        <f>+M71*0.74</f>
        <v>29.6</v>
      </c>
      <c r="O72">
        <v>23976</v>
      </c>
    </row>
    <row r="73" spans="1:15">
      <c r="A73" s="71" t="s">
        <v>325</v>
      </c>
      <c r="B73" s="71"/>
      <c r="C73" s="580"/>
      <c r="D73" s="580">
        <f>SUM(D66:D72)</f>
        <v>3091200</v>
      </c>
      <c r="E73" s="87">
        <f t="shared" ref="E73:J73" si="14">SUM(E66:E72)</f>
        <v>3245760</v>
      </c>
      <c r="F73" s="87">
        <f t="shared" si="14"/>
        <v>3408048</v>
      </c>
      <c r="G73" s="87">
        <f t="shared" si="14"/>
        <v>3578450.4000000004</v>
      </c>
      <c r="H73" s="87">
        <f t="shared" si="14"/>
        <v>3757372.9200000009</v>
      </c>
      <c r="I73" s="87">
        <f t="shared" si="14"/>
        <v>3945241.566000001</v>
      </c>
      <c r="J73" s="87">
        <f t="shared" si="14"/>
        <v>4142503.6443000012</v>
      </c>
      <c r="M73">
        <f>+M72*10</f>
        <v>296</v>
      </c>
      <c r="O73">
        <v>60000</v>
      </c>
    </row>
    <row r="74" spans="1:15">
      <c r="A74" s="71"/>
      <c r="B74" s="71"/>
      <c r="C74" s="580"/>
      <c r="D74" s="580"/>
      <c r="E74" s="87"/>
      <c r="F74" s="87"/>
      <c r="G74" s="87"/>
      <c r="H74" s="87"/>
      <c r="I74" s="87"/>
      <c r="J74" s="87"/>
      <c r="M74">
        <f>+M73*30</f>
        <v>8880</v>
      </c>
      <c r="O74">
        <f>+O71-O72-O73</f>
        <v>136024</v>
      </c>
    </row>
    <row r="75" spans="1:15">
      <c r="A75" s="71" t="s">
        <v>312</v>
      </c>
      <c r="B75" s="69"/>
      <c r="C75" s="159"/>
      <c r="D75" s="159"/>
      <c r="E75" s="70"/>
      <c r="F75" s="70"/>
      <c r="G75" s="70"/>
      <c r="H75" s="70"/>
      <c r="I75" s="70"/>
      <c r="J75" s="70"/>
      <c r="M75">
        <f>+M74*9</f>
        <v>79920</v>
      </c>
      <c r="O75">
        <v>15000</v>
      </c>
    </row>
    <row r="76" spans="1:15">
      <c r="A76" s="69" t="s">
        <v>1655</v>
      </c>
      <c r="B76" s="69">
        <v>1</v>
      </c>
      <c r="C76" s="159">
        <v>25000</v>
      </c>
      <c r="D76" s="159">
        <f t="shared" ref="D76:J76" si="15">$B$76*$C$76*D52*12</f>
        <v>300000</v>
      </c>
      <c r="E76" s="70">
        <f t="shared" si="15"/>
        <v>315000</v>
      </c>
      <c r="F76" s="70">
        <f t="shared" si="15"/>
        <v>330750</v>
      </c>
      <c r="G76" s="70">
        <f t="shared" si="15"/>
        <v>347287.50000000006</v>
      </c>
      <c r="H76" s="70">
        <f t="shared" si="15"/>
        <v>364651.87500000012</v>
      </c>
      <c r="I76" s="70">
        <f t="shared" si="15"/>
        <v>382884.46875000012</v>
      </c>
      <c r="J76" s="70">
        <f t="shared" si="15"/>
        <v>402028.69218750019</v>
      </c>
      <c r="M76">
        <f>+M75*30%</f>
        <v>23976</v>
      </c>
      <c r="O76">
        <f>+O74-O75</f>
        <v>121024</v>
      </c>
    </row>
    <row r="77" spans="1:15">
      <c r="A77" s="69" t="s">
        <v>1656</v>
      </c>
      <c r="B77" s="69">
        <v>1</v>
      </c>
      <c r="C77" s="159">
        <v>15000</v>
      </c>
      <c r="D77" s="159">
        <f>$B$77*$C$77*D52*12</f>
        <v>180000</v>
      </c>
      <c r="E77" s="159">
        <f t="shared" ref="E77:J77" si="16">$B$77*$C$77*E52*12</f>
        <v>189000</v>
      </c>
      <c r="F77" s="159">
        <f t="shared" si="16"/>
        <v>198450</v>
      </c>
      <c r="G77" s="159">
        <f t="shared" si="16"/>
        <v>208372.50000000006</v>
      </c>
      <c r="H77" s="159">
        <f t="shared" si="16"/>
        <v>218791.12500000006</v>
      </c>
      <c r="I77" s="159">
        <f t="shared" si="16"/>
        <v>229730.68125000005</v>
      </c>
      <c r="J77" s="159">
        <f t="shared" si="16"/>
        <v>241217.21531250008</v>
      </c>
      <c r="M77">
        <f>+M75-M76</f>
        <v>55944</v>
      </c>
    </row>
    <row r="78" spans="1:15">
      <c r="A78" s="69" t="s">
        <v>1657</v>
      </c>
      <c r="B78" s="69">
        <v>4</v>
      </c>
      <c r="C78" s="159">
        <v>1000</v>
      </c>
      <c r="D78" s="159">
        <f>$B$78*$C$78*D52*12</f>
        <v>48000</v>
      </c>
      <c r="E78" s="159">
        <f t="shared" ref="E78:J78" si="17">$B$78*$C$78*E52*12</f>
        <v>50400</v>
      </c>
      <c r="F78" s="159">
        <f t="shared" si="17"/>
        <v>52920</v>
      </c>
      <c r="G78" s="159">
        <f t="shared" si="17"/>
        <v>55566.000000000015</v>
      </c>
      <c r="H78" s="159">
        <f t="shared" si="17"/>
        <v>58344.3</v>
      </c>
      <c r="I78" s="159">
        <f t="shared" si="17"/>
        <v>61261.515000000014</v>
      </c>
      <c r="J78" s="159">
        <f t="shared" si="17"/>
        <v>64324.590750000018</v>
      </c>
      <c r="O78">
        <v>3000000</v>
      </c>
    </row>
    <row r="79" spans="1:15">
      <c r="A79" s="69" t="s">
        <v>1659</v>
      </c>
      <c r="B79" s="69">
        <v>1</v>
      </c>
      <c r="C79" s="159">
        <v>12500</v>
      </c>
      <c r="D79" s="159">
        <f>$B$79*$C$79*D52*12</f>
        <v>150000</v>
      </c>
      <c r="E79" s="159">
        <f t="shared" ref="E79:J79" si="18">$B$79*$C$79*E52*12</f>
        <v>157500</v>
      </c>
      <c r="F79" s="159">
        <f t="shared" si="18"/>
        <v>165375</v>
      </c>
      <c r="G79" s="159">
        <f t="shared" si="18"/>
        <v>173643.75000000003</v>
      </c>
      <c r="H79" s="159">
        <f t="shared" si="18"/>
        <v>182325.93750000006</v>
      </c>
      <c r="I79" s="159">
        <f t="shared" si="18"/>
        <v>191442.23437500006</v>
      </c>
      <c r="J79" s="159">
        <f t="shared" si="18"/>
        <v>201014.34609375009</v>
      </c>
    </row>
    <row r="80" spans="1:15">
      <c r="A80" s="69" t="s">
        <v>1658</v>
      </c>
      <c r="B80" s="69">
        <v>10</v>
      </c>
      <c r="C80" s="159">
        <v>8000</v>
      </c>
      <c r="D80" s="159">
        <f>$B$80*$C$80*D52*12</f>
        <v>960000</v>
      </c>
      <c r="E80" s="159">
        <f t="shared" ref="E80:J80" si="19">$B$80*$C$80*E52*12</f>
        <v>1008000</v>
      </c>
      <c r="F80" s="159">
        <f t="shared" si="19"/>
        <v>1058400</v>
      </c>
      <c r="G80" s="159">
        <f t="shared" si="19"/>
        <v>1111320.0000000002</v>
      </c>
      <c r="H80" s="159">
        <f t="shared" si="19"/>
        <v>1166886.0000000002</v>
      </c>
      <c r="I80" s="159">
        <f t="shared" si="19"/>
        <v>1225230.3000000003</v>
      </c>
      <c r="J80" s="159">
        <f t="shared" si="19"/>
        <v>1286491.8150000004</v>
      </c>
    </row>
    <row r="81" spans="1:16">
      <c r="A81" s="69"/>
      <c r="B81" s="69"/>
      <c r="C81" s="159"/>
      <c r="D81" s="159"/>
      <c r="E81" s="70"/>
      <c r="F81" s="70"/>
      <c r="G81" s="70"/>
      <c r="H81" s="70"/>
      <c r="I81" s="70"/>
      <c r="J81" s="70"/>
      <c r="N81">
        <v>9000</v>
      </c>
      <c r="O81">
        <f>+N81/120</f>
        <v>75</v>
      </c>
      <c r="P81">
        <f>+N81*9</f>
        <v>81000</v>
      </c>
    </row>
    <row r="82" spans="1:16">
      <c r="A82" s="71" t="s">
        <v>329</v>
      </c>
      <c r="B82" s="71"/>
      <c r="C82" s="580"/>
      <c r="D82" s="580">
        <f>SUM(D76:D81)</f>
        <v>1638000</v>
      </c>
      <c r="E82" s="87">
        <f t="shared" ref="E82:J82" si="20">SUM(E76:E81)</f>
        <v>1719900</v>
      </c>
      <c r="F82" s="87">
        <f t="shared" si="20"/>
        <v>1805895</v>
      </c>
      <c r="G82" s="87">
        <f t="shared" si="20"/>
        <v>1896189.7500000005</v>
      </c>
      <c r="H82" s="87">
        <f t="shared" si="20"/>
        <v>1990999.2375000005</v>
      </c>
      <c r="I82" s="87">
        <f t="shared" si="20"/>
        <v>2090549.1993750005</v>
      </c>
      <c r="J82" s="87">
        <f t="shared" si="20"/>
        <v>2195076.6593437507</v>
      </c>
      <c r="O82">
        <f>+O81*38000</f>
        <v>2850000</v>
      </c>
      <c r="P82">
        <f>+P81-M76</f>
        <v>57024</v>
      </c>
    </row>
    <row r="83" spans="1:16">
      <c r="A83" s="71"/>
      <c r="B83" s="71"/>
      <c r="C83" s="580"/>
      <c r="D83" s="580"/>
      <c r="E83" s="87"/>
      <c r="F83" s="87"/>
      <c r="G83" s="87"/>
      <c r="H83" s="87"/>
      <c r="I83" s="87"/>
      <c r="J83" s="87"/>
    </row>
    <row r="84" spans="1:16">
      <c r="A84" s="71" t="s">
        <v>129</v>
      </c>
      <c r="B84" s="71"/>
      <c r="C84" s="580"/>
      <c r="D84" s="580">
        <f>D73+D82</f>
        <v>4729200</v>
      </c>
      <c r="E84" s="87">
        <f t="shared" ref="E84:J84" si="21">E73+E82</f>
        <v>4965660</v>
      </c>
      <c r="F84" s="87">
        <f t="shared" si="21"/>
        <v>5213943</v>
      </c>
      <c r="G84" s="87">
        <f t="shared" si="21"/>
        <v>5474640.1500000004</v>
      </c>
      <c r="H84" s="87">
        <f t="shared" si="21"/>
        <v>5748372.1575000016</v>
      </c>
      <c r="I84" s="87">
        <f t="shared" si="21"/>
        <v>6035790.7653750014</v>
      </c>
      <c r="J84" s="87">
        <f t="shared" si="21"/>
        <v>6337580.3036437519</v>
      </c>
      <c r="L84" s="647"/>
    </row>
    <row r="85" spans="1:16">
      <c r="A85" s="69"/>
      <c r="B85" s="69"/>
      <c r="C85" s="159"/>
      <c r="D85" s="159"/>
      <c r="E85" s="70"/>
      <c r="F85" s="70"/>
      <c r="G85" s="70"/>
      <c r="H85" s="70"/>
      <c r="I85" s="70"/>
      <c r="J85" s="70"/>
    </row>
    <row r="86" spans="1:16">
      <c r="A86" s="71" t="s">
        <v>128</v>
      </c>
      <c r="B86" s="71"/>
      <c r="C86" s="580"/>
      <c r="D86" s="580">
        <f t="shared" ref="D86:J86" si="22">D62-D84</f>
        <v>3565800</v>
      </c>
      <c r="E86" s="87">
        <f t="shared" si="22"/>
        <v>4257540</v>
      </c>
      <c r="F86" s="87">
        <f t="shared" si="22"/>
        <v>5075689.5000000037</v>
      </c>
      <c r="G86" s="87">
        <f t="shared" si="22"/>
        <v>5965010.1000000034</v>
      </c>
      <c r="H86" s="87">
        <f t="shared" si="22"/>
        <v>6930573.5362500036</v>
      </c>
      <c r="I86" s="87">
        <f t="shared" si="22"/>
        <v>7277102.2130625043</v>
      </c>
      <c r="J86" s="87">
        <f t="shared" si="22"/>
        <v>7640957.3237156309</v>
      </c>
    </row>
    <row r="87" spans="1:16" hidden="1">
      <c r="A87" s="68"/>
      <c r="B87" s="68"/>
      <c r="C87" s="68"/>
      <c r="D87" s="68"/>
      <c r="E87" s="68"/>
      <c r="F87" s="68"/>
      <c r="G87" s="68"/>
      <c r="H87" s="68"/>
      <c r="I87" s="68"/>
      <c r="J87" s="68"/>
    </row>
    <row r="88" spans="1:16" hidden="1">
      <c r="A88" s="68"/>
    </row>
    <row r="89" spans="1:16" hidden="1"/>
    <row r="90" spans="1:16">
      <c r="A90" s="1073" t="s">
        <v>1661</v>
      </c>
      <c r="B90" s="1073"/>
      <c r="C90" s="1073"/>
      <c r="D90" s="1073"/>
      <c r="E90" s="1073"/>
      <c r="F90" s="1073"/>
      <c r="G90" s="1073"/>
      <c r="H90" s="1073"/>
      <c r="I90" s="1073"/>
      <c r="J90" s="1073"/>
    </row>
    <row r="91" spans="1:16">
      <c r="D91">
        <v>2656800</v>
      </c>
      <c r="E91">
        <v>3299940</v>
      </c>
      <c r="F91">
        <v>4000752.0000000019</v>
      </c>
      <c r="G91">
        <v>4763395.3500000034</v>
      </c>
      <c r="H91">
        <v>5592301.1550000031</v>
      </c>
      <c r="I91">
        <v>5871916.2127500027</v>
      </c>
      <c r="J91">
        <v>6165512.0233875038</v>
      </c>
    </row>
    <row r="92" spans="1:16">
      <c r="A92" t="s">
        <v>531</v>
      </c>
      <c r="D92" s="51">
        <f>+D86-D91</f>
        <v>909000</v>
      </c>
      <c r="E92" s="51">
        <f t="shared" ref="E92:J92" si="23">+E86-E91</f>
        <v>957600</v>
      </c>
      <c r="F92" s="51">
        <f t="shared" si="23"/>
        <v>1074937.5000000019</v>
      </c>
      <c r="G92" s="51">
        <f t="shared" si="23"/>
        <v>1201614.75</v>
      </c>
      <c r="H92" s="51">
        <f t="shared" si="23"/>
        <v>1338272.3812500006</v>
      </c>
      <c r="I92" s="51">
        <f t="shared" si="23"/>
        <v>1405186.0003125016</v>
      </c>
      <c r="J92" s="51">
        <f t="shared" si="23"/>
        <v>1475445.3003281271</v>
      </c>
    </row>
    <row r="93" spans="1:16">
      <c r="A93">
        <v>1</v>
      </c>
      <c r="B93" t="s">
        <v>544</v>
      </c>
    </row>
    <row r="94" spans="1:16">
      <c r="A94">
        <v>2</v>
      </c>
      <c r="B94" t="s">
        <v>545</v>
      </c>
    </row>
    <row r="95" spans="1:16">
      <c r="A95">
        <v>3</v>
      </c>
      <c r="B95" s="68" t="s">
        <v>572</v>
      </c>
    </row>
  </sheetData>
  <mergeCells count="6">
    <mergeCell ref="A2:H2"/>
    <mergeCell ref="A3:H3"/>
    <mergeCell ref="A50:J50"/>
    <mergeCell ref="A90:J90"/>
    <mergeCell ref="A5:H5"/>
    <mergeCell ref="A6:A7"/>
  </mergeCells>
  <pageMargins left="0.7" right="0.7" top="0.75" bottom="0.75" header="0.3" footer="0.3"/>
  <pageSetup paperSize="9" scale="64" orientation="portrait" r:id="rId1"/>
  <colBreaks count="1" manualBreakCount="1">
    <brk id="10" max="5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4"/>
  <sheetViews>
    <sheetView view="pageBreakPreview" zoomScaleSheetLayoutView="100" workbookViewId="0">
      <selection activeCell="B4" sqref="B4"/>
    </sheetView>
  </sheetViews>
  <sheetFormatPr defaultRowHeight="15"/>
  <cols>
    <col min="1" max="1" width="3.85546875" customWidth="1"/>
    <col min="2" max="2" width="91.7109375" customWidth="1"/>
  </cols>
  <sheetData>
    <row r="2" spans="2:2" ht="26.25">
      <c r="B2" s="376" t="s">
        <v>714</v>
      </c>
    </row>
    <row r="4" spans="2:2" ht="180">
      <c r="B4" s="305" t="s">
        <v>805</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3"/>
  <sheetViews>
    <sheetView showGridLines="0" topLeftCell="A22" zoomScale="55" zoomScaleNormal="55" workbookViewId="0">
      <selection activeCell="O49" sqref="O49"/>
    </sheetView>
  </sheetViews>
  <sheetFormatPr defaultRowHeight="15"/>
  <cols>
    <col min="2" max="2" width="12.5703125" customWidth="1"/>
    <col min="6" max="6" width="9.5703125" customWidth="1"/>
    <col min="9" max="9" width="5.5703125" customWidth="1"/>
    <col min="10" max="10" width="12.140625" customWidth="1"/>
  </cols>
  <sheetData>
    <row r="2" spans="2:10" ht="18.75">
      <c r="B2" s="1012" t="s">
        <v>670</v>
      </c>
      <c r="C2" s="1012"/>
      <c r="D2" s="1012"/>
      <c r="E2" s="1012"/>
      <c r="F2" s="1012"/>
      <c r="G2" s="1012"/>
      <c r="H2" s="1012"/>
      <c r="I2" s="1012"/>
      <c r="J2" s="1012"/>
    </row>
    <row r="4" spans="2:10">
      <c r="B4" s="288" t="s">
        <v>671</v>
      </c>
      <c r="F4" s="288" t="s">
        <v>672</v>
      </c>
      <c r="J4" s="288" t="s">
        <v>673</v>
      </c>
    </row>
    <row r="6" spans="2:10">
      <c r="B6" s="9" t="s">
        <v>674</v>
      </c>
      <c r="F6" s="9" t="s">
        <v>675</v>
      </c>
      <c r="J6" s="1190" t="s">
        <v>676</v>
      </c>
    </row>
    <row r="7" spans="2:10" ht="31.5" customHeight="1">
      <c r="J7" s="1191"/>
    </row>
    <row r="8" spans="2:10">
      <c r="B8" s="9" t="s">
        <v>677</v>
      </c>
      <c r="F8" s="9" t="s">
        <v>678</v>
      </c>
      <c r="J8" s="1191"/>
    </row>
    <row r="9" spans="2:10" ht="30.75" customHeight="1">
      <c r="J9" s="1191"/>
    </row>
    <row r="10" spans="2:10">
      <c r="B10" s="9" t="s">
        <v>679</v>
      </c>
      <c r="F10" s="9" t="s">
        <v>680</v>
      </c>
      <c r="H10" s="9" t="s">
        <v>681</v>
      </c>
      <c r="J10" s="1191"/>
    </row>
    <row r="11" spans="2:10" ht="32.25" customHeight="1">
      <c r="J11" s="1191"/>
    </row>
    <row r="12" spans="2:10" ht="45">
      <c r="B12" s="283" t="s">
        <v>682</v>
      </c>
      <c r="C12" s="289"/>
      <c r="F12" s="283" t="s">
        <v>683</v>
      </c>
      <c r="H12" s="283" t="s">
        <v>684</v>
      </c>
      <c r="J12" s="1191"/>
    </row>
    <row r="13" spans="2:10" ht="30.75" customHeight="1">
      <c r="J13" s="1191"/>
    </row>
    <row r="14" spans="2:10">
      <c r="B14" s="9" t="s">
        <v>680</v>
      </c>
      <c r="F14" s="9" t="s">
        <v>685</v>
      </c>
      <c r="J14" s="1191"/>
    </row>
    <row r="15" spans="2:10" ht="38.25" customHeight="1">
      <c r="J15" s="1191"/>
    </row>
    <row r="16" spans="2:10" ht="45">
      <c r="B16" s="80" t="s">
        <v>686</v>
      </c>
      <c r="D16" s="283" t="s">
        <v>687</v>
      </c>
      <c r="E16" s="290"/>
      <c r="F16" s="80" t="s">
        <v>688</v>
      </c>
      <c r="G16" s="290"/>
      <c r="H16" s="80" t="s">
        <v>685</v>
      </c>
      <c r="J16" s="1191"/>
    </row>
    <row r="17" spans="2:10" ht="31.5" customHeight="1">
      <c r="D17" s="289"/>
      <c r="E17" s="290"/>
      <c r="F17" s="290"/>
      <c r="G17" s="290"/>
      <c r="H17" s="290"/>
      <c r="J17" s="1191"/>
    </row>
    <row r="18" spans="2:10">
      <c r="B18" s="9" t="s">
        <v>689</v>
      </c>
      <c r="F18" s="9" t="s">
        <v>690</v>
      </c>
      <c r="J18" s="1191"/>
    </row>
    <row r="19" spans="2:10" ht="31.5" customHeight="1">
      <c r="J19" s="1191"/>
    </row>
    <row r="20" spans="2:10">
      <c r="B20" s="9" t="s">
        <v>691</v>
      </c>
      <c r="F20" s="9" t="s">
        <v>681</v>
      </c>
      <c r="J20" s="1192"/>
    </row>
    <row r="26" spans="2:10">
      <c r="B26" s="1073" t="s">
        <v>692</v>
      </c>
      <c r="C26" s="1073"/>
      <c r="D26" s="1073"/>
      <c r="E26" s="1073"/>
      <c r="F26" s="1073"/>
      <c r="G26" s="1073"/>
      <c r="H26" s="1073"/>
      <c r="I26" s="1073"/>
      <c r="J26" s="1073"/>
    </row>
    <row r="28" spans="2:10">
      <c r="B28" s="288" t="s">
        <v>671</v>
      </c>
      <c r="F28" s="288" t="s">
        <v>672</v>
      </c>
      <c r="J28" s="288" t="s">
        <v>673</v>
      </c>
    </row>
    <row r="30" spans="2:10">
      <c r="B30" s="9" t="s">
        <v>674</v>
      </c>
      <c r="F30" s="9" t="s">
        <v>675</v>
      </c>
      <c r="J30" s="1190" t="s">
        <v>676</v>
      </c>
    </row>
    <row r="31" spans="2:10">
      <c r="J31" s="1191"/>
    </row>
    <row r="32" spans="2:10">
      <c r="B32" s="9" t="s">
        <v>677</v>
      </c>
      <c r="F32" s="9" t="s">
        <v>678</v>
      </c>
      <c r="J32" s="1191"/>
    </row>
    <row r="33" spans="2:10">
      <c r="J33" s="1191"/>
    </row>
    <row r="34" spans="2:10">
      <c r="B34" s="9" t="s">
        <v>679</v>
      </c>
      <c r="F34" s="9" t="s">
        <v>680</v>
      </c>
      <c r="J34" s="1191"/>
    </row>
    <row r="35" spans="2:10">
      <c r="J35" s="1191"/>
    </row>
    <row r="36" spans="2:10" ht="45">
      <c r="B36" s="283" t="s">
        <v>682</v>
      </c>
      <c r="C36" s="289"/>
      <c r="F36" s="283" t="s">
        <v>683</v>
      </c>
      <c r="H36" s="283" t="s">
        <v>684</v>
      </c>
      <c r="J36" s="1191"/>
    </row>
    <row r="37" spans="2:10">
      <c r="J37" s="1191"/>
    </row>
    <row r="38" spans="2:10">
      <c r="J38" s="1191"/>
    </row>
    <row r="39" spans="2:10">
      <c r="B39" s="80" t="s">
        <v>686</v>
      </c>
      <c r="E39" s="290"/>
      <c r="F39" s="80" t="s">
        <v>693</v>
      </c>
      <c r="G39" s="290"/>
      <c r="J39" s="1191"/>
    </row>
    <row r="40" spans="2:10" ht="30" customHeight="1">
      <c r="D40" s="289"/>
      <c r="E40" s="290"/>
      <c r="F40" s="290"/>
      <c r="G40" s="290"/>
      <c r="H40" s="290"/>
      <c r="J40" s="1191"/>
    </row>
    <row r="41" spans="2:10">
      <c r="B41" s="9" t="s">
        <v>689</v>
      </c>
      <c r="F41" s="9" t="s">
        <v>690</v>
      </c>
      <c r="J41" s="1191"/>
    </row>
    <row r="42" spans="2:10" ht="32.25" customHeight="1">
      <c r="J42" s="1191"/>
    </row>
    <row r="43" spans="2:10" ht="23.25" customHeight="1">
      <c r="B43" s="9" t="s">
        <v>691</v>
      </c>
      <c r="F43" s="80" t="s">
        <v>693</v>
      </c>
      <c r="J43" s="1192"/>
    </row>
  </sheetData>
  <mergeCells count="4">
    <mergeCell ref="B2:J2"/>
    <mergeCell ref="J6:J20"/>
    <mergeCell ref="B26:J26"/>
    <mergeCell ref="J30:J4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showGridLines="0" view="pageBreakPreview" topLeftCell="A31" zoomScale="25" zoomScaleSheetLayoutView="25" workbookViewId="0">
      <selection activeCell="A69" sqref="A69:XFD83"/>
    </sheetView>
  </sheetViews>
  <sheetFormatPr defaultRowHeight="15.75"/>
  <cols>
    <col min="1" max="1" width="5.28515625" style="338" customWidth="1"/>
    <col min="2" max="2" width="10.140625" style="336" customWidth="1"/>
    <col min="3" max="3" width="12" style="336" customWidth="1"/>
    <col min="4" max="4" width="11.85546875" style="336" customWidth="1"/>
    <col min="5" max="5" width="17.85546875" style="336" customWidth="1"/>
    <col min="6" max="6" width="15.42578125" style="336" customWidth="1"/>
    <col min="7" max="7" width="13.140625" style="336" customWidth="1"/>
    <col min="8" max="8" width="16.7109375" style="336" customWidth="1"/>
    <col min="9" max="9" width="14" style="336" customWidth="1"/>
  </cols>
  <sheetData>
    <row r="1" spans="1:9">
      <c r="A1" s="328"/>
      <c r="B1" s="747" t="s">
        <v>761</v>
      </c>
      <c r="C1" s="772"/>
      <c r="D1" s="772"/>
      <c r="E1" s="772"/>
      <c r="F1" s="772"/>
      <c r="G1" s="772"/>
      <c r="H1" s="772"/>
      <c r="I1" s="328"/>
    </row>
    <row r="2" spans="1:9">
      <c r="A2" s="329"/>
      <c r="B2" s="772"/>
      <c r="C2" s="772"/>
      <c r="D2" s="772"/>
      <c r="E2" s="772"/>
      <c r="F2" s="772"/>
      <c r="G2" s="772"/>
      <c r="H2" s="772"/>
      <c r="I2" s="329"/>
    </row>
    <row r="3" spans="1:9">
      <c r="A3" s="330">
        <v>1</v>
      </c>
      <c r="B3" s="773" t="str">
        <f>[7]Project_Report!B9</f>
        <v>Name of the Entreprenuer</v>
      </c>
      <c r="C3" s="773"/>
      <c r="D3" s="773"/>
      <c r="E3" s="771" t="s">
        <v>762</v>
      </c>
      <c r="F3" s="771"/>
      <c r="G3" s="771"/>
      <c r="H3" s="771"/>
      <c r="I3" s="771"/>
    </row>
    <row r="4" spans="1:9">
      <c r="A4" s="330"/>
      <c r="B4" s="331"/>
      <c r="C4" s="331"/>
      <c r="D4" s="331"/>
      <c r="E4" s="331"/>
      <c r="F4" s="332"/>
      <c r="G4" s="332"/>
      <c r="H4" s="332"/>
      <c r="I4" s="332"/>
    </row>
    <row r="5" spans="1:9">
      <c r="A5" s="330"/>
      <c r="B5" s="331"/>
      <c r="C5" s="331"/>
      <c r="D5" s="331"/>
      <c r="E5" s="331"/>
      <c r="F5" s="332"/>
      <c r="G5" s="332"/>
      <c r="H5" s="332"/>
      <c r="I5" s="332"/>
    </row>
    <row r="6" spans="1:9">
      <c r="A6" s="330">
        <v>2</v>
      </c>
      <c r="B6" s="738" t="str">
        <f>[7]Project_Report!B11</f>
        <v>Constitution (legal Status)                                         :</v>
      </c>
      <c r="C6" s="738"/>
      <c r="D6" s="738"/>
      <c r="E6" s="738" t="s">
        <v>763</v>
      </c>
      <c r="F6" s="738"/>
      <c r="G6" s="738"/>
      <c r="H6" s="738"/>
      <c r="I6" s="738"/>
    </row>
    <row r="7" spans="1:9">
      <c r="A7" s="330"/>
      <c r="B7" s="331"/>
      <c r="C7" s="331"/>
      <c r="D7" s="331"/>
      <c r="E7" s="331"/>
      <c r="F7" s="331"/>
      <c r="G7" s="331"/>
      <c r="H7" s="331"/>
      <c r="I7" s="331"/>
    </row>
    <row r="8" spans="1:9">
      <c r="A8" s="330"/>
      <c r="B8" s="331"/>
      <c r="C8" s="331"/>
      <c r="D8" s="331"/>
      <c r="E8" s="331" t="s">
        <v>764</v>
      </c>
      <c r="F8" s="331"/>
      <c r="G8" s="331"/>
      <c r="H8" s="331"/>
      <c r="I8" s="331"/>
    </row>
    <row r="9" spans="1:9">
      <c r="A9" s="330"/>
      <c r="B9" s="331"/>
      <c r="C9" s="331"/>
      <c r="D9" s="331"/>
      <c r="E9" s="331"/>
      <c r="F9" s="332"/>
      <c r="G9" s="332"/>
      <c r="H9" s="332"/>
      <c r="I9" s="332"/>
    </row>
    <row r="10" spans="1:9">
      <c r="A10" s="330">
        <v>3</v>
      </c>
      <c r="B10" s="738" t="s">
        <v>765</v>
      </c>
      <c r="C10" s="738"/>
      <c r="D10" s="738"/>
      <c r="E10" s="738" t="s">
        <v>818</v>
      </c>
      <c r="F10" s="738"/>
      <c r="G10" s="738"/>
      <c r="H10" s="738"/>
      <c r="I10" s="738"/>
    </row>
    <row r="11" spans="1:9">
      <c r="A11" s="330"/>
      <c r="B11" s="331"/>
      <c r="C11" s="331"/>
      <c r="D11" s="331"/>
      <c r="E11" s="738" t="s">
        <v>819</v>
      </c>
      <c r="F11" s="738"/>
      <c r="G11" s="738"/>
      <c r="H11" s="738"/>
      <c r="I11" s="738"/>
    </row>
    <row r="12" spans="1:9">
      <c r="A12" s="330"/>
      <c r="B12" s="331"/>
      <c r="C12" s="331"/>
      <c r="D12" s="331"/>
      <c r="E12" s="738" t="s">
        <v>820</v>
      </c>
      <c r="F12" s="738"/>
      <c r="G12" s="738"/>
      <c r="H12" s="738"/>
      <c r="I12" s="738"/>
    </row>
    <row r="13" spans="1:9">
      <c r="A13" s="330"/>
      <c r="B13" s="331"/>
      <c r="C13" s="331"/>
      <c r="D13" s="331"/>
      <c r="E13" s="738" t="s">
        <v>821</v>
      </c>
      <c r="F13" s="738"/>
      <c r="G13" s="738"/>
      <c r="H13" s="738"/>
      <c r="I13" s="738"/>
    </row>
    <row r="14" spans="1:9">
      <c r="A14" s="330"/>
      <c r="B14" s="331"/>
      <c r="C14" s="331"/>
      <c r="D14" s="331"/>
      <c r="E14" s="738" t="s">
        <v>822</v>
      </c>
      <c r="F14" s="738"/>
      <c r="G14" s="738"/>
      <c r="H14" s="738"/>
      <c r="I14" s="738"/>
    </row>
    <row r="15" spans="1:9">
      <c r="A15" s="330"/>
      <c r="B15" s="331"/>
      <c r="C15" s="331"/>
      <c r="D15" s="331"/>
      <c r="E15" s="738" t="s">
        <v>823</v>
      </c>
      <c r="F15" s="738"/>
      <c r="G15" s="738"/>
      <c r="H15" s="738"/>
      <c r="I15" s="738"/>
    </row>
    <row r="16" spans="1:9" ht="7.5" customHeight="1">
      <c r="A16" s="330"/>
      <c r="B16" s="331"/>
      <c r="C16" s="331"/>
      <c r="D16" s="331"/>
      <c r="E16" s="331"/>
      <c r="F16" s="332"/>
      <c r="G16" s="332"/>
      <c r="H16" s="332"/>
      <c r="I16" s="332"/>
    </row>
    <row r="17" spans="1:9">
      <c r="A17" s="330">
        <v>4</v>
      </c>
      <c r="B17" s="738" t="str">
        <f>[7]Project_Report!B16</f>
        <v xml:space="preserve"> Unit  Address                        :</v>
      </c>
      <c r="C17" s="738"/>
      <c r="D17" s="738"/>
      <c r="E17" s="331" t="str">
        <f>[7]Project_Report!G16</f>
        <v>Gut No - 116 , At - Bramhangaon,</v>
      </c>
      <c r="F17" s="332"/>
      <c r="G17" s="332"/>
      <c r="H17" s="332"/>
      <c r="I17" s="332"/>
    </row>
    <row r="18" spans="1:9">
      <c r="A18" s="330"/>
      <c r="B18" s="331"/>
      <c r="C18" s="331"/>
      <c r="D18" s="331"/>
      <c r="E18" s="331" t="str">
        <f>[7]Project_Report!G17</f>
        <v xml:space="preserve"> Post - Harigaon,</v>
      </c>
      <c r="F18" s="332"/>
      <c r="G18" s="332"/>
      <c r="H18" s="332"/>
      <c r="I18" s="332"/>
    </row>
    <row r="19" spans="1:9">
      <c r="A19" s="330"/>
      <c r="B19" s="331"/>
      <c r="C19" s="331"/>
      <c r="D19" s="331"/>
      <c r="E19" s="333" t="str">
        <f>[7]Project_Report!G18</f>
        <v>Taluk/Block:</v>
      </c>
      <c r="F19" s="738" t="str">
        <f>[7]Project_Report!H18</f>
        <v>Shrirampur</v>
      </c>
      <c r="G19" s="738"/>
      <c r="H19" s="738"/>
      <c r="I19" s="332"/>
    </row>
    <row r="20" spans="1:9">
      <c r="A20" s="330"/>
      <c r="B20" s="331"/>
      <c r="C20" s="331"/>
      <c r="D20" s="331"/>
      <c r="E20" s="333" t="str">
        <f>[7]Project_Report!G19</f>
        <v>District :</v>
      </c>
      <c r="F20" s="331" t="str">
        <f>[7]Project_Report!H19</f>
        <v>Shrirampur</v>
      </c>
      <c r="G20" s="331"/>
      <c r="H20" s="331"/>
      <c r="I20" s="332"/>
    </row>
    <row r="21" spans="1:9">
      <c r="A21" s="330"/>
      <c r="B21" s="331"/>
      <c r="C21" s="331"/>
      <c r="D21" s="331"/>
      <c r="E21" s="333" t="str">
        <f>[7]Project_Report!G20</f>
        <v>Pin:</v>
      </c>
      <c r="F21" s="331">
        <f>[7]Project_Report!H20</f>
        <v>413718</v>
      </c>
      <c r="G21" s="334" t="str">
        <f>[7]Project_Report!I20</f>
        <v>State:</v>
      </c>
      <c r="H21" s="335" t="str">
        <f>[7]DataSheet!C17</f>
        <v>Maharashtra</v>
      </c>
      <c r="I21" s="332"/>
    </row>
    <row r="22" spans="1:9">
      <c r="A22" s="330"/>
      <c r="B22" s="331"/>
      <c r="C22" s="331"/>
      <c r="D22" s="331"/>
      <c r="E22" s="333" t="str">
        <f>[7]Project_Report!G22</f>
        <v>E-Mail                  :</v>
      </c>
      <c r="F22" s="770" t="str">
        <f>[7]DataSheet!C18</f>
        <v>latishwetal@gmail.com</v>
      </c>
      <c r="G22" s="738"/>
      <c r="H22" s="738"/>
      <c r="I22" s="332"/>
    </row>
    <row r="23" spans="1:9">
      <c r="A23" s="330"/>
      <c r="E23" s="333" t="s">
        <v>766</v>
      </c>
      <c r="F23" s="738">
        <f>[7]DataSheet!G18</f>
        <v>9011065024</v>
      </c>
      <c r="G23" s="738"/>
    </row>
    <row r="24" spans="1:9">
      <c r="A24" s="337">
        <v>5</v>
      </c>
      <c r="B24" s="753" t="s">
        <v>767</v>
      </c>
      <c r="C24" s="753"/>
      <c r="D24" s="753"/>
      <c r="E24" s="743" t="s">
        <v>1831</v>
      </c>
      <c r="F24" s="743"/>
      <c r="G24" s="743"/>
      <c r="H24" s="743"/>
      <c r="I24" s="743"/>
    </row>
    <row r="25" spans="1:9">
      <c r="A25" s="330"/>
      <c r="E25" s="341" t="s">
        <v>1832</v>
      </c>
    </row>
    <row r="26" spans="1:9">
      <c r="A26" s="330">
        <v>6</v>
      </c>
      <c r="B26" s="331" t="s">
        <v>768</v>
      </c>
      <c r="C26" s="331"/>
      <c r="D26" s="338" t="s">
        <v>769</v>
      </c>
      <c r="E26" s="339" t="s">
        <v>770</v>
      </c>
      <c r="F26" s="340">
        <f>+'1.Project Cost and MOF (2)'!D12</f>
        <v>39971326.963150658</v>
      </c>
      <c r="G26" s="341"/>
      <c r="H26" s="342"/>
    </row>
    <row r="27" spans="1:9">
      <c r="A27" s="330"/>
      <c r="B27" s="731" t="s">
        <v>771</v>
      </c>
      <c r="C27" s="731"/>
      <c r="D27" s="731"/>
      <c r="E27" s="743" t="str">
        <f>+E3</f>
        <v>AGROBABA PRODUCER COMPANY LIMITED</v>
      </c>
      <c r="F27" s="743"/>
      <c r="G27" s="743"/>
      <c r="H27" s="743"/>
      <c r="I27" s="743"/>
    </row>
    <row r="28" spans="1:9">
      <c r="A28" s="330"/>
      <c r="B28" s="731"/>
      <c r="C28" s="731"/>
      <c r="D28" s="731"/>
      <c r="E28" s="743"/>
      <c r="F28" s="743"/>
      <c r="G28" s="743"/>
      <c r="H28" s="743"/>
      <c r="I28" s="743"/>
    </row>
    <row r="29" spans="1:9">
      <c r="A29" s="330"/>
      <c r="B29" s="343"/>
      <c r="C29" s="343"/>
      <c r="D29" s="343"/>
      <c r="E29" s="344"/>
      <c r="F29" s="344"/>
      <c r="G29" s="344"/>
      <c r="H29" s="344"/>
      <c r="I29" s="344"/>
    </row>
    <row r="30" spans="1:9">
      <c r="A30" s="330">
        <v>7</v>
      </c>
      <c r="B30" s="332" t="s">
        <v>772</v>
      </c>
      <c r="C30" s="332"/>
      <c r="D30" s="332"/>
      <c r="E30" s="332"/>
    </row>
    <row r="31" spans="1:9">
      <c r="A31" s="330"/>
      <c r="B31" s="738" t="s">
        <v>773</v>
      </c>
      <c r="C31" s="738"/>
      <c r="D31" s="738"/>
      <c r="E31" s="345" t="s">
        <v>770</v>
      </c>
      <c r="F31" s="346">
        <f>+'1.Project Cost and MOF (2)'!F20</f>
        <v>15114072.365079995</v>
      </c>
      <c r="G31" s="341"/>
    </row>
    <row r="32" spans="1:9">
      <c r="A32" s="330"/>
      <c r="B32" s="738" t="s">
        <v>774</v>
      </c>
      <c r="C32" s="738"/>
      <c r="D32" s="738"/>
      <c r="E32" s="345" t="s">
        <v>770</v>
      </c>
      <c r="F32" s="346">
        <f>+'1.Project Cost and MOF (2)'!F19</f>
        <v>20000000</v>
      </c>
      <c r="G32" s="341"/>
    </row>
    <row r="33" spans="1:8" hidden="1">
      <c r="A33" s="330"/>
      <c r="B33" s="331" t="s">
        <v>775</v>
      </c>
      <c r="C33" s="331"/>
      <c r="D33" s="331"/>
      <c r="E33" s="345" t="s">
        <v>770</v>
      </c>
      <c r="F33" s="346">
        <v>0</v>
      </c>
      <c r="G33" s="341"/>
    </row>
    <row r="34" spans="1:8">
      <c r="A34" s="330"/>
      <c r="B34" s="738" t="s">
        <v>776</v>
      </c>
      <c r="C34" s="738"/>
      <c r="D34" s="738"/>
      <c r="E34" s="345" t="s">
        <v>770</v>
      </c>
      <c r="F34" s="346">
        <f>+'1.Project Cost and MOF (2)'!F21</f>
        <v>4857254.5980706625</v>
      </c>
      <c r="G34" s="341"/>
    </row>
    <row r="35" spans="1:8">
      <c r="A35" s="330"/>
      <c r="B35" s="733" t="s">
        <v>1</v>
      </c>
      <c r="C35" s="733"/>
      <c r="D35" s="733"/>
      <c r="E35" s="339" t="s">
        <v>770</v>
      </c>
      <c r="F35" s="347">
        <f>SUM(F31:F34)</f>
        <v>39971326.963150665</v>
      </c>
    </row>
    <row r="36" spans="1:8">
      <c r="A36" s="330"/>
    </row>
    <row r="37" spans="1:8" hidden="1">
      <c r="A37" s="330">
        <v>8</v>
      </c>
      <c r="B37" s="771" t="s">
        <v>777</v>
      </c>
      <c r="C37" s="771"/>
      <c r="D37" s="771"/>
      <c r="E37" s="339" t="s">
        <v>770</v>
      </c>
      <c r="F37" s="347">
        <f>+F32</f>
        <v>20000000</v>
      </c>
    </row>
    <row r="38" spans="1:8">
      <c r="A38" s="330"/>
    </row>
    <row r="39" spans="1:8">
      <c r="A39" s="330">
        <v>8</v>
      </c>
      <c r="B39" s="731" t="s">
        <v>778</v>
      </c>
      <c r="C39" s="731"/>
      <c r="D39" s="338" t="s">
        <v>769</v>
      </c>
      <c r="E39" s="331"/>
      <c r="F39" s="637">
        <f>+'1.Project Cost and MOF (2)'!D33</f>
        <v>2.7936058573409057</v>
      </c>
      <c r="H39" s="330"/>
    </row>
    <row r="40" spans="1:8">
      <c r="A40" s="330"/>
      <c r="B40" s="731"/>
      <c r="C40" s="731"/>
      <c r="D40" s="338"/>
      <c r="E40" s="331"/>
      <c r="G40" s="348"/>
      <c r="H40" s="330"/>
    </row>
    <row r="41" spans="1:8">
      <c r="A41" s="330"/>
      <c r="D41" s="338"/>
    </row>
    <row r="42" spans="1:8">
      <c r="A42" s="330">
        <v>9</v>
      </c>
      <c r="B42" s="331" t="s">
        <v>779</v>
      </c>
      <c r="C42" s="331"/>
      <c r="D42" s="338" t="s">
        <v>769</v>
      </c>
      <c r="E42" s="331"/>
      <c r="F42" s="637">
        <f>+'1.Project Cost and MOF (2)'!D32</f>
        <v>5.0743386616228197</v>
      </c>
      <c r="G42" s="331" t="s">
        <v>345</v>
      </c>
    </row>
    <row r="43" spans="1:8">
      <c r="A43" s="330"/>
      <c r="B43" s="331"/>
      <c r="C43" s="331"/>
      <c r="D43" s="338"/>
      <c r="E43" s="331"/>
      <c r="G43" s="330"/>
      <c r="H43" s="331"/>
    </row>
    <row r="44" spans="1:8">
      <c r="A44" s="330"/>
      <c r="B44" s="331"/>
      <c r="C44" s="331"/>
      <c r="D44" s="338"/>
      <c r="E44" s="331"/>
      <c r="G44" s="330"/>
      <c r="H44" s="331"/>
    </row>
    <row r="45" spans="1:8">
      <c r="A45" s="330">
        <v>10</v>
      </c>
      <c r="B45" s="736" t="s">
        <v>780</v>
      </c>
      <c r="C45" s="736"/>
      <c r="D45" s="338" t="s">
        <v>769</v>
      </c>
      <c r="F45" s="330">
        <v>6</v>
      </c>
      <c r="G45" s="336" t="s">
        <v>392</v>
      </c>
    </row>
    <row r="46" spans="1:8">
      <c r="A46" s="330"/>
      <c r="B46" s="736"/>
      <c r="C46" s="736"/>
      <c r="D46" s="338"/>
      <c r="G46" s="330"/>
    </row>
    <row r="47" spans="1:8">
      <c r="A47" s="330"/>
      <c r="B47" s="331"/>
      <c r="D47" s="338"/>
      <c r="G47" s="330"/>
    </row>
    <row r="48" spans="1:8">
      <c r="A48" s="330">
        <v>11</v>
      </c>
      <c r="B48" s="738" t="s">
        <v>781</v>
      </c>
      <c r="C48" s="738"/>
      <c r="D48" s="338" t="s">
        <v>769</v>
      </c>
      <c r="E48" s="331"/>
      <c r="F48" s="636">
        <f>+'[8]1.Project Cost and MOF'!D28</f>
        <v>0.4003389524147723</v>
      </c>
    </row>
    <row r="49" spans="1:9">
      <c r="A49" s="330"/>
      <c r="D49" s="338"/>
    </row>
    <row r="50" spans="1:9">
      <c r="A50" s="330"/>
      <c r="D50" s="338"/>
    </row>
    <row r="51" spans="1:9">
      <c r="A51" s="330">
        <v>12</v>
      </c>
      <c r="B51" s="738" t="s">
        <v>782</v>
      </c>
      <c r="C51" s="738"/>
      <c r="D51" s="338" t="s">
        <v>769</v>
      </c>
      <c r="E51" s="331"/>
      <c r="F51" s="349">
        <v>100</v>
      </c>
      <c r="G51" s="336" t="s">
        <v>783</v>
      </c>
    </row>
    <row r="52" spans="1:9">
      <c r="A52" s="330"/>
      <c r="D52" s="338"/>
      <c r="E52" s="350"/>
    </row>
    <row r="53" spans="1:9">
      <c r="A53" s="330"/>
      <c r="D53" s="338"/>
    </row>
    <row r="54" spans="1:9">
      <c r="A54" s="330">
        <v>13</v>
      </c>
      <c r="B54" s="738" t="s">
        <v>784</v>
      </c>
      <c r="C54" s="738"/>
      <c r="D54" s="338" t="s">
        <v>769</v>
      </c>
      <c r="E54" s="331"/>
      <c r="F54" s="338" t="s">
        <v>1830</v>
      </c>
      <c r="G54" s="331" t="s">
        <v>785</v>
      </c>
    </row>
    <row r="55" spans="1:9">
      <c r="A55" s="330"/>
      <c r="D55" s="338"/>
    </row>
    <row r="56" spans="1:9">
      <c r="A56" s="330"/>
      <c r="D56" s="338"/>
    </row>
    <row r="57" spans="1:9">
      <c r="A57" s="330">
        <v>14</v>
      </c>
      <c r="B57" s="738" t="s">
        <v>786</v>
      </c>
      <c r="C57" s="738"/>
      <c r="D57" s="338" t="s">
        <v>769</v>
      </c>
      <c r="E57" s="351"/>
      <c r="F57" s="351" t="s">
        <v>1833</v>
      </c>
      <c r="G57" s="351"/>
      <c r="H57" s="351"/>
      <c r="I57" s="351"/>
    </row>
    <row r="58" spans="1:9">
      <c r="A58" s="330"/>
      <c r="B58" s="331"/>
      <c r="C58" s="331"/>
      <c r="D58" s="338"/>
      <c r="E58" s="331"/>
      <c r="F58" s="331" t="s">
        <v>1834</v>
      </c>
      <c r="G58" s="331"/>
      <c r="H58" s="331"/>
      <c r="I58" s="331"/>
    </row>
    <row r="59" spans="1:9">
      <c r="A59" s="330"/>
      <c r="B59" s="331"/>
      <c r="C59" s="331"/>
      <c r="D59" s="338"/>
      <c r="E59" s="331"/>
      <c r="F59" s="331"/>
      <c r="G59" s="331"/>
      <c r="H59" s="331"/>
      <c r="I59" s="331"/>
    </row>
    <row r="60" spans="1:9">
      <c r="A60" s="330">
        <v>16</v>
      </c>
      <c r="B60" s="331" t="s">
        <v>707</v>
      </c>
      <c r="C60" s="331"/>
      <c r="D60" s="338" t="s">
        <v>769</v>
      </c>
      <c r="E60" s="331"/>
      <c r="F60" s="331" t="s">
        <v>787</v>
      </c>
      <c r="G60" s="331"/>
      <c r="H60" s="331"/>
      <c r="I60" s="331"/>
    </row>
    <row r="61" spans="1:9">
      <c r="A61" s="330"/>
      <c r="B61" s="331"/>
      <c r="C61" s="331"/>
      <c r="D61" s="338"/>
      <c r="E61" s="331"/>
      <c r="F61" s="331"/>
      <c r="G61" s="331"/>
      <c r="H61" s="331"/>
      <c r="I61" s="331"/>
    </row>
    <row r="62" spans="1:9">
      <c r="A62" s="330">
        <v>17</v>
      </c>
      <c r="B62" s="331" t="s">
        <v>788</v>
      </c>
      <c r="C62" s="331"/>
      <c r="D62" s="338" t="s">
        <v>769</v>
      </c>
      <c r="E62" s="331"/>
      <c r="F62" s="331" t="s">
        <v>789</v>
      </c>
      <c r="G62" s="331"/>
      <c r="H62" s="331"/>
      <c r="I62" s="331"/>
    </row>
    <row r="63" spans="1:9">
      <c r="A63" s="330"/>
      <c r="B63" s="331"/>
      <c r="C63" s="331"/>
      <c r="D63" s="338"/>
      <c r="E63" s="331"/>
      <c r="F63" s="331" t="s">
        <v>790</v>
      </c>
      <c r="G63" s="331"/>
      <c r="H63" s="331"/>
      <c r="I63" s="331"/>
    </row>
    <row r="64" spans="1:9">
      <c r="A64" s="330"/>
      <c r="B64" s="331"/>
      <c r="C64" s="331"/>
      <c r="D64" s="338"/>
      <c r="E64" s="331"/>
      <c r="F64" s="331"/>
      <c r="G64" s="331"/>
      <c r="H64" s="331"/>
      <c r="I64" s="331"/>
    </row>
    <row r="65" spans="1:9">
      <c r="A65" s="330">
        <v>18</v>
      </c>
      <c r="B65" s="736" t="s">
        <v>791</v>
      </c>
      <c r="C65" s="736"/>
      <c r="D65" s="338" t="s">
        <v>769</v>
      </c>
      <c r="E65" s="345" t="s">
        <v>770</v>
      </c>
      <c r="F65" s="765">
        <f>+'[8]6.Cons Profit &amp; Loss'!H15</f>
        <v>416197419.47410375</v>
      </c>
      <c r="G65" s="765"/>
    </row>
    <row r="66" spans="1:9">
      <c r="A66" s="330"/>
      <c r="B66" s="736"/>
      <c r="C66" s="736"/>
      <c r="D66" s="338"/>
    </row>
    <row r="67" spans="1:9">
      <c r="A67" s="330">
        <v>1</v>
      </c>
      <c r="B67" s="766" t="s">
        <v>792</v>
      </c>
      <c r="C67" s="766"/>
      <c r="D67" s="766"/>
      <c r="E67" s="766"/>
      <c r="F67" s="766"/>
      <c r="G67" s="766"/>
      <c r="H67" s="766"/>
      <c r="I67" s="766"/>
    </row>
    <row r="68" spans="1:9">
      <c r="A68" s="330"/>
      <c r="B68" s="738"/>
      <c r="C68" s="738"/>
      <c r="D68" s="738"/>
      <c r="E68" s="738"/>
      <c r="F68" s="738"/>
      <c r="G68" s="738"/>
      <c r="H68" s="738"/>
      <c r="I68" s="738"/>
    </row>
    <row r="69" spans="1:9">
      <c r="A69" s="330"/>
      <c r="B69" s="767" t="s">
        <v>804</v>
      </c>
      <c r="C69" s="767"/>
      <c r="D69" s="767"/>
      <c r="E69" s="767"/>
      <c r="F69" s="767"/>
      <c r="G69" s="767"/>
      <c r="H69" s="767"/>
      <c r="I69" s="767"/>
    </row>
    <row r="70" spans="1:9">
      <c r="A70" s="330"/>
      <c r="B70" s="767"/>
      <c r="C70" s="767"/>
      <c r="D70" s="767"/>
      <c r="E70" s="767"/>
      <c r="F70" s="767"/>
      <c r="G70" s="767"/>
      <c r="H70" s="767"/>
      <c r="I70" s="767"/>
    </row>
    <row r="71" spans="1:9">
      <c r="A71" s="330"/>
      <c r="B71" s="767"/>
      <c r="C71" s="767"/>
      <c r="D71" s="767"/>
      <c r="E71" s="767"/>
      <c r="F71" s="767"/>
      <c r="G71" s="767"/>
      <c r="H71" s="767"/>
      <c r="I71" s="767"/>
    </row>
    <row r="72" spans="1:9">
      <c r="A72" s="330"/>
      <c r="B72" s="767"/>
      <c r="C72" s="767"/>
      <c r="D72" s="767"/>
      <c r="E72" s="767"/>
      <c r="F72" s="767"/>
      <c r="G72" s="767"/>
      <c r="H72" s="767"/>
      <c r="I72" s="767"/>
    </row>
    <row r="73" spans="1:9">
      <c r="A73" s="330"/>
      <c r="B73" s="767"/>
      <c r="C73" s="767"/>
      <c r="D73" s="767"/>
      <c r="E73" s="767"/>
      <c r="F73" s="767"/>
      <c r="G73" s="767"/>
      <c r="H73" s="767"/>
      <c r="I73" s="767"/>
    </row>
    <row r="74" spans="1:9">
      <c r="A74" s="330"/>
      <c r="B74" s="767"/>
      <c r="C74" s="767"/>
      <c r="D74" s="767"/>
      <c r="E74" s="767"/>
      <c r="F74" s="767"/>
      <c r="G74" s="767"/>
      <c r="H74" s="767"/>
      <c r="I74" s="767"/>
    </row>
    <row r="75" spans="1:9">
      <c r="A75" s="330"/>
      <c r="B75" s="767"/>
      <c r="C75" s="767"/>
      <c r="D75" s="767"/>
      <c r="E75" s="767"/>
      <c r="F75" s="767"/>
      <c r="G75" s="767"/>
      <c r="H75" s="767"/>
      <c r="I75" s="767"/>
    </row>
    <row r="76" spans="1:9">
      <c r="A76" s="330"/>
      <c r="B76" s="767"/>
      <c r="C76" s="767"/>
      <c r="D76" s="767"/>
      <c r="E76" s="767"/>
      <c r="F76" s="767"/>
      <c r="G76" s="767"/>
      <c r="H76" s="767"/>
      <c r="I76" s="767"/>
    </row>
    <row r="77" spans="1:9">
      <c r="A77" s="330"/>
      <c r="B77" s="767"/>
      <c r="C77" s="767"/>
      <c r="D77" s="767"/>
      <c r="E77" s="767"/>
      <c r="F77" s="767"/>
      <c r="G77" s="767"/>
      <c r="H77" s="767"/>
      <c r="I77" s="767"/>
    </row>
    <row r="78" spans="1:9">
      <c r="A78" s="330"/>
      <c r="B78" s="767"/>
      <c r="C78" s="767"/>
      <c r="D78" s="767"/>
      <c r="E78" s="767"/>
      <c r="F78" s="767"/>
      <c r="G78" s="767"/>
      <c r="H78" s="767"/>
      <c r="I78" s="767"/>
    </row>
    <row r="79" spans="1:9">
      <c r="A79" s="330"/>
      <c r="B79" s="767"/>
      <c r="C79" s="767"/>
      <c r="D79" s="767"/>
      <c r="E79" s="767"/>
      <c r="F79" s="767"/>
      <c r="G79" s="767"/>
      <c r="H79" s="767"/>
      <c r="I79" s="767"/>
    </row>
    <row r="80" spans="1:9">
      <c r="A80" s="330"/>
      <c r="B80" s="767"/>
      <c r="C80" s="767"/>
      <c r="D80" s="767"/>
      <c r="E80" s="767"/>
      <c r="F80" s="767"/>
      <c r="G80" s="767"/>
      <c r="H80" s="767"/>
      <c r="I80" s="767"/>
    </row>
    <row r="81" spans="1:9">
      <c r="A81" s="330"/>
      <c r="B81" s="767"/>
      <c r="C81" s="767"/>
      <c r="D81" s="767"/>
      <c r="E81" s="767"/>
      <c r="F81" s="767"/>
      <c r="G81" s="767"/>
      <c r="H81" s="767"/>
      <c r="I81" s="767"/>
    </row>
    <row r="82" spans="1:9" ht="390" customHeight="1">
      <c r="A82" s="330"/>
      <c r="B82" s="767"/>
      <c r="C82" s="767"/>
      <c r="D82" s="767"/>
      <c r="E82" s="767"/>
      <c r="F82" s="767"/>
      <c r="G82" s="767"/>
      <c r="H82" s="767"/>
      <c r="I82" s="767"/>
    </row>
    <row r="83" spans="1:9" ht="368.25" customHeight="1">
      <c r="B83" s="768" t="s">
        <v>803</v>
      </c>
      <c r="C83" s="769"/>
      <c r="D83" s="769"/>
      <c r="E83" s="769"/>
      <c r="F83" s="769"/>
      <c r="G83" s="769"/>
      <c r="H83" s="769"/>
      <c r="I83" s="769"/>
    </row>
  </sheetData>
  <mergeCells count="37">
    <mergeCell ref="B17:D17"/>
    <mergeCell ref="B1:H2"/>
    <mergeCell ref="B3:D3"/>
    <mergeCell ref="E3:I3"/>
    <mergeCell ref="B6:D6"/>
    <mergeCell ref="E6:I6"/>
    <mergeCell ref="B10:D10"/>
    <mergeCell ref="E10:I10"/>
    <mergeCell ref="E11:I11"/>
    <mergeCell ref="E12:I12"/>
    <mergeCell ref="E13:I13"/>
    <mergeCell ref="E14:I14"/>
    <mergeCell ref="E15:I15"/>
    <mergeCell ref="B39:C40"/>
    <mergeCell ref="F19:H19"/>
    <mergeCell ref="F22:H22"/>
    <mergeCell ref="F23:G23"/>
    <mergeCell ref="B24:D24"/>
    <mergeCell ref="E24:I24"/>
    <mergeCell ref="B27:D28"/>
    <mergeCell ref="E27:I28"/>
    <mergeCell ref="B31:D31"/>
    <mergeCell ref="B32:D32"/>
    <mergeCell ref="B34:D34"/>
    <mergeCell ref="B35:D35"/>
    <mergeCell ref="B37:D37"/>
    <mergeCell ref="B45:C46"/>
    <mergeCell ref="B48:C48"/>
    <mergeCell ref="B51:C51"/>
    <mergeCell ref="B54:C54"/>
    <mergeCell ref="B57:C57"/>
    <mergeCell ref="F65:G65"/>
    <mergeCell ref="B67:I67"/>
    <mergeCell ref="B68:I68"/>
    <mergeCell ref="B69:I82"/>
    <mergeCell ref="B83:I83"/>
    <mergeCell ref="B65:C66"/>
  </mergeCells>
  <pageMargins left="0.7" right="0.7" top="0.75" bottom="0.75" header="0.3" footer="0.3"/>
  <pageSetup paperSize="9" scale="74" orientation="portrait" r:id="rId1"/>
  <rowBreaks count="1" manualBreakCount="1">
    <brk id="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AN2035"/>
  <sheetViews>
    <sheetView showGridLines="0" view="pageBreakPreview" topLeftCell="A1966" zoomScale="55" zoomScaleSheetLayoutView="55" workbookViewId="0">
      <selection activeCell="T1652" sqref="T1652"/>
    </sheetView>
  </sheetViews>
  <sheetFormatPr defaultRowHeight="15"/>
  <cols>
    <col min="1" max="1" width="1" customWidth="1"/>
    <col min="2" max="2" width="3.7109375" customWidth="1"/>
    <col min="3" max="5" width="4" customWidth="1"/>
    <col min="6" max="6" width="4.7109375" customWidth="1"/>
    <col min="7" max="7" width="3.42578125" customWidth="1"/>
    <col min="8" max="8" width="3.140625" customWidth="1"/>
    <col min="9" max="9" width="4" customWidth="1"/>
    <col min="10" max="10" width="4.85546875" customWidth="1"/>
    <col min="11" max="11" width="3.140625" customWidth="1"/>
    <col min="12" max="12" width="4" customWidth="1"/>
    <col min="13" max="13" width="5.7109375" customWidth="1"/>
    <col min="14" max="14" width="2.85546875" customWidth="1"/>
    <col min="15" max="15" width="4" customWidth="1"/>
    <col min="16" max="16" width="5.42578125" customWidth="1"/>
    <col min="17" max="17" width="4.28515625" customWidth="1"/>
    <col min="18" max="18" width="4" customWidth="1"/>
    <col min="19" max="19" width="5.28515625" customWidth="1"/>
    <col min="20" max="20" width="3.28515625" customWidth="1"/>
    <col min="21" max="21" width="4" customWidth="1"/>
    <col min="22" max="22" width="5.42578125" customWidth="1"/>
    <col min="23" max="23" width="2.85546875" customWidth="1"/>
    <col min="24" max="24" width="4" customWidth="1"/>
    <col min="25" max="25" width="5.7109375" customWidth="1"/>
    <col min="26" max="26" width="2.85546875" customWidth="1"/>
    <col min="27" max="28" width="4" customWidth="1"/>
    <col min="29" max="29" width="10.42578125" customWidth="1"/>
    <col min="30" max="39" width="4" customWidth="1"/>
    <col min="40" max="40" width="18.5703125" customWidth="1"/>
    <col min="41" max="41" width="4" customWidth="1"/>
  </cols>
  <sheetData>
    <row r="8" spans="2:25" ht="46.5" customHeight="1">
      <c r="B8" s="945" t="s">
        <v>1518</v>
      </c>
      <c r="C8" s="945"/>
      <c r="D8" s="945"/>
      <c r="E8" s="945"/>
      <c r="F8" s="945"/>
      <c r="G8" s="945"/>
      <c r="H8" s="945"/>
      <c r="I8" s="945"/>
      <c r="J8" s="945"/>
      <c r="K8" s="945"/>
      <c r="L8" s="945"/>
      <c r="M8" s="945"/>
      <c r="N8" s="945"/>
      <c r="O8" s="945"/>
      <c r="P8" s="945"/>
      <c r="Q8" s="945"/>
      <c r="R8" s="945"/>
      <c r="S8" s="945"/>
      <c r="T8" s="945"/>
      <c r="U8" s="945"/>
      <c r="V8" s="945"/>
      <c r="W8" s="945"/>
      <c r="X8" s="945"/>
      <c r="Y8" s="945"/>
    </row>
    <row r="9" spans="2:25" ht="34.5" customHeight="1">
      <c r="B9" s="946" t="s">
        <v>828</v>
      </c>
      <c r="C9" s="946"/>
      <c r="D9" s="946"/>
      <c r="E9" s="946"/>
      <c r="F9" s="946"/>
      <c r="G9" s="946"/>
      <c r="H9" s="946"/>
      <c r="I9" s="946"/>
      <c r="J9" s="946"/>
      <c r="K9" s="946"/>
      <c r="L9" s="946"/>
      <c r="M9" s="946"/>
      <c r="N9" s="946"/>
      <c r="O9" s="946"/>
      <c r="P9" s="946"/>
      <c r="Q9" s="946"/>
      <c r="R9" s="946"/>
      <c r="S9" s="946"/>
      <c r="T9" s="946"/>
      <c r="U9" s="946"/>
      <c r="V9" s="946"/>
      <c r="W9" s="946"/>
      <c r="X9" s="946"/>
      <c r="Y9" s="946"/>
    </row>
    <row r="13" spans="2:25" ht="40.5" customHeight="1">
      <c r="B13" s="947" t="s">
        <v>829</v>
      </c>
      <c r="C13" s="947"/>
      <c r="D13" s="947"/>
      <c r="E13" s="947"/>
      <c r="F13" s="947"/>
      <c r="G13" s="947"/>
      <c r="H13" s="947"/>
      <c r="I13" s="947"/>
      <c r="J13" s="947"/>
      <c r="K13" s="947"/>
      <c r="L13" s="947"/>
      <c r="M13" s="947"/>
      <c r="N13" s="947"/>
      <c r="O13" s="947"/>
      <c r="P13" s="947"/>
      <c r="Q13" s="947"/>
      <c r="R13" s="947"/>
      <c r="S13" s="947"/>
      <c r="T13" s="947"/>
      <c r="U13" s="947"/>
      <c r="V13" s="947"/>
      <c r="W13" s="947"/>
      <c r="X13" s="947"/>
      <c r="Y13" s="947"/>
    </row>
    <row r="14" spans="2:25" ht="21">
      <c r="B14" s="948" t="s">
        <v>830</v>
      </c>
      <c r="C14" s="948"/>
      <c r="D14" s="948"/>
      <c r="E14" s="948"/>
      <c r="F14" s="948"/>
      <c r="G14" s="948"/>
      <c r="H14" s="948"/>
      <c r="I14" s="948"/>
      <c r="J14" s="948"/>
      <c r="K14" s="948"/>
      <c r="L14" s="948"/>
      <c r="M14" s="948"/>
      <c r="N14" s="948"/>
      <c r="O14" s="948"/>
      <c r="P14" s="948"/>
      <c r="Q14" s="948"/>
      <c r="R14" s="948"/>
      <c r="S14" s="948"/>
      <c r="T14" s="948"/>
      <c r="U14" s="948"/>
      <c r="V14" s="948"/>
      <c r="W14" s="948"/>
      <c r="X14" s="948"/>
      <c r="Y14" s="948"/>
    </row>
    <row r="15" spans="2:25">
      <c r="B15" s="463"/>
      <c r="C15" s="463"/>
      <c r="D15" s="463"/>
      <c r="E15" s="463"/>
      <c r="F15" s="463"/>
      <c r="G15" s="463"/>
      <c r="H15" s="463"/>
      <c r="I15" s="463"/>
      <c r="J15" s="463"/>
      <c r="K15" s="463"/>
      <c r="L15" s="463"/>
      <c r="M15" s="463"/>
      <c r="N15" s="463"/>
      <c r="O15" s="463"/>
      <c r="P15" s="463"/>
      <c r="Q15" s="463"/>
      <c r="R15" s="463"/>
      <c r="S15" s="463"/>
      <c r="T15" s="463"/>
      <c r="U15" s="463"/>
      <c r="V15" s="463"/>
      <c r="W15" s="463"/>
      <c r="X15" s="463"/>
      <c r="Y15" s="463"/>
    </row>
    <row r="16" spans="2:25">
      <c r="B16" s="463"/>
      <c r="C16" s="463"/>
      <c r="D16" s="463"/>
      <c r="E16" s="463"/>
      <c r="F16" s="463"/>
      <c r="G16" s="463"/>
      <c r="H16" s="463"/>
      <c r="I16" s="463"/>
      <c r="J16" s="463"/>
      <c r="K16" s="463"/>
      <c r="L16" s="463"/>
      <c r="M16" s="463"/>
      <c r="N16" s="463"/>
      <c r="O16" s="463"/>
      <c r="P16" s="463"/>
      <c r="Q16" s="463"/>
      <c r="R16" s="463"/>
      <c r="S16" s="463"/>
      <c r="T16" s="463"/>
      <c r="U16" s="463"/>
      <c r="V16" s="463"/>
      <c r="W16" s="463"/>
      <c r="X16" s="463"/>
      <c r="Y16" s="463"/>
    </row>
    <row r="19" spans="2:23" ht="21">
      <c r="B19" s="949" t="s">
        <v>831</v>
      </c>
      <c r="C19" s="949"/>
      <c r="D19" s="949"/>
      <c r="E19" s="949"/>
      <c r="F19" s="949"/>
      <c r="G19" s="949"/>
      <c r="H19" s="949"/>
      <c r="I19" s="949"/>
      <c r="J19" s="949"/>
      <c r="K19" s="949"/>
      <c r="L19" s="949"/>
      <c r="M19" s="949"/>
      <c r="N19" s="949"/>
      <c r="O19" s="949"/>
      <c r="P19" s="949"/>
      <c r="Q19" s="949"/>
      <c r="R19" s="949"/>
      <c r="S19" s="949"/>
      <c r="T19" s="949"/>
      <c r="U19" s="949"/>
      <c r="V19" s="949"/>
      <c r="W19" s="949"/>
    </row>
    <row r="26" spans="2:23" ht="34.5" customHeight="1">
      <c r="B26" s="950" t="s">
        <v>832</v>
      </c>
      <c r="C26" s="950"/>
      <c r="D26" s="950"/>
      <c r="E26" s="950"/>
      <c r="F26" s="950"/>
      <c r="G26" s="950"/>
      <c r="H26" s="950"/>
      <c r="I26" s="950"/>
      <c r="J26" s="950"/>
      <c r="K26" s="950"/>
      <c r="L26" s="950"/>
      <c r="M26" s="950"/>
      <c r="N26" s="950"/>
      <c r="O26" s="950"/>
      <c r="P26" s="950"/>
      <c r="Q26" s="950"/>
      <c r="R26" s="950"/>
      <c r="S26" s="950"/>
      <c r="T26" s="950"/>
      <c r="U26" s="950"/>
      <c r="V26" s="950"/>
      <c r="W26" s="950"/>
    </row>
    <row r="27" spans="2:23" ht="33" customHeight="1">
      <c r="B27" s="943" t="s">
        <v>833</v>
      </c>
      <c r="C27" s="943"/>
      <c r="D27" s="943"/>
      <c r="E27" s="943"/>
      <c r="F27" s="943"/>
      <c r="G27" s="943"/>
      <c r="H27" s="943"/>
      <c r="I27" s="943"/>
      <c r="J27" s="943"/>
      <c r="K27" s="943"/>
      <c r="L27" s="943"/>
      <c r="M27" s="943"/>
      <c r="N27" s="943"/>
      <c r="O27" s="943"/>
      <c r="P27" s="943"/>
      <c r="Q27" s="943"/>
      <c r="R27" s="943"/>
      <c r="S27" s="943"/>
      <c r="T27" s="943"/>
      <c r="U27" s="943"/>
      <c r="V27" s="943"/>
      <c r="W27" s="943"/>
    </row>
    <row r="28" spans="2:23" ht="20.25" customHeight="1">
      <c r="B28" s="729" t="s">
        <v>834</v>
      </c>
      <c r="C28" s="729"/>
      <c r="D28" s="729"/>
      <c r="E28" s="729"/>
      <c r="F28" s="729"/>
      <c r="G28" s="729"/>
      <c r="H28" s="729"/>
      <c r="I28" s="729"/>
      <c r="J28" s="729"/>
      <c r="K28" s="729"/>
      <c r="L28" s="729"/>
      <c r="M28" s="729"/>
      <c r="N28" s="729"/>
      <c r="O28" s="729"/>
      <c r="P28" s="729"/>
      <c r="Q28" s="729"/>
      <c r="R28" s="729"/>
      <c r="S28" s="729"/>
      <c r="T28" s="729"/>
      <c r="U28" s="729"/>
      <c r="V28" s="729"/>
      <c r="W28" s="729"/>
    </row>
    <row r="45" spans="2:23" ht="42.75">
      <c r="B45" s="944" t="s">
        <v>835</v>
      </c>
      <c r="C45" s="944"/>
      <c r="D45" s="944"/>
      <c r="E45" s="944"/>
      <c r="F45" s="944"/>
      <c r="G45" s="944"/>
      <c r="H45" s="944"/>
      <c r="I45" s="944"/>
      <c r="J45" s="944"/>
      <c r="K45" s="944"/>
      <c r="L45" s="944"/>
      <c r="M45" s="944"/>
      <c r="N45" s="944"/>
      <c r="O45" s="944"/>
      <c r="P45" s="944"/>
      <c r="Q45" s="944"/>
      <c r="R45" s="944"/>
      <c r="S45" s="944"/>
      <c r="T45" s="944"/>
      <c r="U45" s="944"/>
      <c r="V45" s="944"/>
      <c r="W45" s="944"/>
    </row>
    <row r="46" spans="2:23" ht="26.25">
      <c r="B46" s="461" t="s">
        <v>836</v>
      </c>
      <c r="C46" s="448"/>
    </row>
    <row r="47" spans="2:23" ht="26.25">
      <c r="B47" s="461" t="s">
        <v>837</v>
      </c>
      <c r="C47" s="448"/>
    </row>
    <row r="48" spans="2:23" ht="26.25">
      <c r="B48" s="462" t="s">
        <v>838</v>
      </c>
      <c r="C48" s="448"/>
    </row>
    <row r="49" spans="2:3" ht="26.25">
      <c r="B49" s="461" t="s">
        <v>839</v>
      </c>
      <c r="C49" s="448"/>
    </row>
    <row r="50" spans="2:3" ht="26.25">
      <c r="B50" s="461" t="s">
        <v>840</v>
      </c>
      <c r="C50" s="448"/>
    </row>
    <row r="51" spans="2:3" ht="26.25">
      <c r="B51" s="461" t="s">
        <v>841</v>
      </c>
      <c r="C51" s="448"/>
    </row>
    <row r="52" spans="2:3" ht="26.25">
      <c r="B52" s="462" t="s">
        <v>842</v>
      </c>
      <c r="C52" s="448"/>
    </row>
    <row r="53" spans="2:3" ht="26.25">
      <c r="B53" s="462" t="s">
        <v>843</v>
      </c>
      <c r="C53" s="448"/>
    </row>
    <row r="54" spans="2:3" ht="26.25">
      <c r="B54" s="461" t="s">
        <v>844</v>
      </c>
      <c r="C54" s="448"/>
    </row>
    <row r="55" spans="2:3" ht="26.25">
      <c r="B55" s="461" t="s">
        <v>845</v>
      </c>
      <c r="C55" s="448"/>
    </row>
    <row r="56" spans="2:3" ht="22.5">
      <c r="B56" s="459" t="s">
        <v>662</v>
      </c>
    </row>
    <row r="57" spans="2:3" ht="26.25">
      <c r="B57" s="460"/>
    </row>
    <row r="58" spans="2:3" ht="26.25">
      <c r="B58" s="460"/>
    </row>
    <row r="109" spans="3:25">
      <c r="C109" s="968" t="s">
        <v>1936</v>
      </c>
      <c r="D109" s="969"/>
      <c r="E109" s="969"/>
      <c r="F109" s="969"/>
      <c r="G109" s="969"/>
      <c r="H109" s="969"/>
      <c r="I109" s="969"/>
      <c r="J109" s="969"/>
      <c r="K109" s="969"/>
      <c r="L109" s="969"/>
      <c r="M109" s="969"/>
      <c r="N109" s="969"/>
      <c r="O109" s="969"/>
      <c r="P109" s="969"/>
      <c r="Q109" s="969"/>
      <c r="R109" s="969"/>
      <c r="S109" s="969"/>
      <c r="T109" s="969"/>
      <c r="U109" s="969"/>
      <c r="V109" s="969"/>
      <c r="W109" s="969"/>
      <c r="X109" s="969"/>
      <c r="Y109" s="970"/>
    </row>
    <row r="110" spans="3:25">
      <c r="C110" s="971"/>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3"/>
    </row>
    <row r="111" spans="3:25">
      <c r="C111" s="971"/>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3"/>
    </row>
    <row r="112" spans="3:25">
      <c r="C112" s="971"/>
      <c r="D112" s="972"/>
      <c r="E112" s="972"/>
      <c r="F112" s="972"/>
      <c r="G112" s="972"/>
      <c r="H112" s="972"/>
      <c r="I112" s="972"/>
      <c r="J112" s="972"/>
      <c r="K112" s="972"/>
      <c r="L112" s="972"/>
      <c r="M112" s="972"/>
      <c r="N112" s="972"/>
      <c r="O112" s="972"/>
      <c r="P112" s="972"/>
      <c r="Q112" s="972"/>
      <c r="R112" s="972"/>
      <c r="S112" s="972"/>
      <c r="T112" s="972"/>
      <c r="U112" s="972"/>
      <c r="V112" s="972"/>
      <c r="W112" s="972"/>
      <c r="X112" s="972"/>
      <c r="Y112" s="973"/>
    </row>
    <row r="113" spans="3:25">
      <c r="C113" s="971"/>
      <c r="D113" s="972"/>
      <c r="E113" s="972"/>
      <c r="F113" s="972"/>
      <c r="G113" s="972"/>
      <c r="H113" s="972"/>
      <c r="I113" s="972"/>
      <c r="J113" s="972"/>
      <c r="K113" s="972"/>
      <c r="L113" s="972"/>
      <c r="M113" s="972"/>
      <c r="N113" s="972"/>
      <c r="O113" s="972"/>
      <c r="P113" s="972"/>
      <c r="Q113" s="972"/>
      <c r="R113" s="972"/>
      <c r="S113" s="972"/>
      <c r="T113" s="972"/>
      <c r="U113" s="972"/>
      <c r="V113" s="972"/>
      <c r="W113" s="972"/>
      <c r="X113" s="972"/>
      <c r="Y113" s="973"/>
    </row>
    <row r="114" spans="3:25">
      <c r="C114" s="971"/>
      <c r="D114" s="972"/>
      <c r="E114" s="972"/>
      <c r="F114" s="972"/>
      <c r="G114" s="972"/>
      <c r="H114" s="972"/>
      <c r="I114" s="972"/>
      <c r="J114" s="972"/>
      <c r="K114" s="972"/>
      <c r="L114" s="972"/>
      <c r="M114" s="972"/>
      <c r="N114" s="972"/>
      <c r="O114" s="972"/>
      <c r="P114" s="972"/>
      <c r="Q114" s="972"/>
      <c r="R114" s="972"/>
      <c r="S114" s="972"/>
      <c r="T114" s="972"/>
      <c r="U114" s="972"/>
      <c r="V114" s="972"/>
      <c r="W114" s="972"/>
      <c r="X114" s="972"/>
      <c r="Y114" s="973"/>
    </row>
    <row r="115" spans="3:25">
      <c r="C115" s="971"/>
      <c r="D115" s="972"/>
      <c r="E115" s="972"/>
      <c r="F115" s="972"/>
      <c r="G115" s="972"/>
      <c r="H115" s="972"/>
      <c r="I115" s="972"/>
      <c r="J115" s="972"/>
      <c r="K115" s="972"/>
      <c r="L115" s="972"/>
      <c r="M115" s="972"/>
      <c r="N115" s="972"/>
      <c r="O115" s="972"/>
      <c r="P115" s="972"/>
      <c r="Q115" s="972"/>
      <c r="R115" s="972"/>
      <c r="S115" s="972"/>
      <c r="T115" s="972"/>
      <c r="U115" s="972"/>
      <c r="V115" s="972"/>
      <c r="W115" s="972"/>
      <c r="X115" s="972"/>
      <c r="Y115" s="973"/>
    </row>
    <row r="116" spans="3:25">
      <c r="C116" s="974"/>
      <c r="D116" s="975"/>
      <c r="E116" s="975"/>
      <c r="F116" s="975"/>
      <c r="G116" s="975"/>
      <c r="H116" s="975"/>
      <c r="I116" s="975"/>
      <c r="J116" s="975"/>
      <c r="K116" s="975"/>
      <c r="L116" s="975"/>
      <c r="M116" s="975"/>
      <c r="N116" s="975"/>
      <c r="O116" s="975"/>
      <c r="P116" s="975"/>
      <c r="Q116" s="975"/>
      <c r="R116" s="975"/>
      <c r="S116" s="975"/>
      <c r="T116" s="975"/>
      <c r="U116" s="975"/>
      <c r="V116" s="975"/>
      <c r="W116" s="975"/>
      <c r="X116" s="975"/>
      <c r="Y116" s="976"/>
    </row>
    <row r="148" spans="3:25" ht="205.5" customHeight="1">
      <c r="C148" s="774" t="s">
        <v>1937</v>
      </c>
      <c r="D148" s="774"/>
      <c r="E148" s="774"/>
      <c r="F148" s="774"/>
      <c r="G148" s="774"/>
      <c r="H148" s="774"/>
      <c r="I148" s="774"/>
      <c r="J148" s="774"/>
      <c r="K148" s="774"/>
      <c r="L148" s="774"/>
      <c r="M148" s="774"/>
      <c r="N148" s="774"/>
      <c r="O148" s="774"/>
      <c r="P148" s="774"/>
      <c r="Q148" s="774"/>
      <c r="R148" s="774"/>
      <c r="S148" s="774"/>
      <c r="T148" s="774"/>
      <c r="U148" s="774"/>
      <c r="V148" s="774"/>
      <c r="W148" s="774"/>
      <c r="X148" s="774"/>
      <c r="Y148" s="774"/>
    </row>
    <row r="150" spans="3:25">
      <c r="C150" s="210"/>
    </row>
    <row r="206" spans="2:25" ht="27">
      <c r="B206" s="464" t="s">
        <v>846</v>
      </c>
    </row>
    <row r="207" spans="2:25">
      <c r="B207" s="304"/>
    </row>
    <row r="208" spans="2:25" ht="26.25">
      <c r="B208" s="925" t="s">
        <v>847</v>
      </c>
      <c r="C208" s="925"/>
      <c r="D208" s="925"/>
      <c r="E208" s="925"/>
      <c r="F208" s="925"/>
      <c r="G208" s="925"/>
      <c r="H208" s="925"/>
      <c r="I208" s="925"/>
      <c r="J208" s="925"/>
      <c r="K208" s="925"/>
      <c r="L208" s="925"/>
      <c r="M208" s="925"/>
      <c r="N208" s="925"/>
      <c r="O208" s="925"/>
      <c r="P208" s="925"/>
      <c r="Q208" s="925"/>
      <c r="R208" s="925"/>
      <c r="S208" s="925"/>
      <c r="T208" s="925"/>
      <c r="U208" s="925"/>
      <c r="V208" s="925"/>
      <c r="W208" s="925"/>
      <c r="X208" s="925"/>
      <c r="Y208" s="925"/>
    </row>
    <row r="209" spans="2:29" ht="48.75" customHeight="1">
      <c r="B209" s="467">
        <v>1</v>
      </c>
      <c r="C209" s="929" t="s">
        <v>848</v>
      </c>
      <c r="D209" s="930"/>
      <c r="E209" s="930"/>
      <c r="F209" s="930"/>
      <c r="G209" s="930"/>
      <c r="H209" s="930"/>
      <c r="I209" s="930"/>
      <c r="J209" s="930"/>
      <c r="K209" s="931"/>
      <c r="L209" s="926" t="s">
        <v>863</v>
      </c>
      <c r="M209" s="927"/>
      <c r="N209" s="927"/>
      <c r="O209" s="927"/>
      <c r="P209" s="927"/>
      <c r="Q209" s="927"/>
      <c r="R209" s="927"/>
      <c r="S209" s="927"/>
      <c r="T209" s="927"/>
      <c r="U209" s="927"/>
      <c r="V209" s="927"/>
      <c r="W209" s="927"/>
      <c r="X209" s="927"/>
      <c r="Y209" s="928"/>
    </row>
    <row r="210" spans="2:29" ht="16.5" customHeight="1">
      <c r="B210" s="966">
        <v>2</v>
      </c>
      <c r="C210" s="960" t="s">
        <v>849</v>
      </c>
      <c r="D210" s="961"/>
      <c r="E210" s="961"/>
      <c r="F210" s="961"/>
      <c r="G210" s="961"/>
      <c r="H210" s="961"/>
      <c r="I210" s="961"/>
      <c r="J210" s="961"/>
      <c r="K210" s="962"/>
      <c r="L210" s="917" t="s">
        <v>864</v>
      </c>
      <c r="M210" s="803"/>
      <c r="N210" s="803"/>
      <c r="O210" s="803"/>
      <c r="P210" s="803"/>
      <c r="Q210" s="803"/>
      <c r="R210" s="803"/>
      <c r="S210" s="803"/>
      <c r="T210" s="803"/>
      <c r="U210" s="803"/>
      <c r="V210" s="803"/>
      <c r="W210" s="803"/>
      <c r="X210" s="803"/>
      <c r="Y210" s="918"/>
    </row>
    <row r="211" spans="2:29" ht="36.75" customHeight="1">
      <c r="B211" s="967"/>
      <c r="C211" s="963"/>
      <c r="D211" s="964"/>
      <c r="E211" s="964"/>
      <c r="F211" s="964"/>
      <c r="G211" s="964"/>
      <c r="H211" s="964"/>
      <c r="I211" s="964"/>
      <c r="J211" s="964"/>
      <c r="K211" s="965"/>
      <c r="L211" s="932" t="s">
        <v>850</v>
      </c>
      <c r="M211" s="933"/>
      <c r="N211" s="933"/>
      <c r="O211" s="933"/>
      <c r="P211" s="933"/>
      <c r="Q211" s="933"/>
      <c r="R211" s="933"/>
      <c r="S211" s="933"/>
      <c r="T211" s="933"/>
      <c r="U211" s="933"/>
      <c r="V211" s="933"/>
      <c r="W211" s="933"/>
      <c r="X211" s="933"/>
      <c r="Y211" s="934"/>
    </row>
    <row r="212" spans="2:29" ht="29.25" customHeight="1">
      <c r="B212" s="937">
        <v>3</v>
      </c>
      <c r="C212" s="951" t="s">
        <v>865</v>
      </c>
      <c r="D212" s="952"/>
      <c r="E212" s="952"/>
      <c r="F212" s="952"/>
      <c r="G212" s="952"/>
      <c r="H212" s="952"/>
      <c r="I212" s="952"/>
      <c r="J212" s="952"/>
      <c r="K212" s="953"/>
      <c r="L212" s="914" t="s">
        <v>851</v>
      </c>
      <c r="M212" s="915"/>
      <c r="N212" s="915"/>
      <c r="O212" s="915"/>
      <c r="P212" s="915"/>
      <c r="Q212" s="915"/>
      <c r="R212" s="915"/>
      <c r="S212" s="915"/>
      <c r="T212" s="915"/>
      <c r="U212" s="915"/>
      <c r="V212" s="915"/>
      <c r="W212" s="915"/>
      <c r="X212" s="915"/>
      <c r="Y212" s="916"/>
    </row>
    <row r="213" spans="2:29" ht="29.25" customHeight="1">
      <c r="B213" s="938"/>
      <c r="C213" s="954"/>
      <c r="D213" s="955"/>
      <c r="E213" s="955"/>
      <c r="F213" s="955"/>
      <c r="G213" s="955"/>
      <c r="H213" s="955"/>
      <c r="I213" s="955"/>
      <c r="J213" s="955"/>
      <c r="K213" s="956"/>
      <c r="L213" s="917" t="s">
        <v>852</v>
      </c>
      <c r="M213" s="803"/>
      <c r="N213" s="803"/>
      <c r="O213" s="803"/>
      <c r="P213" s="803"/>
      <c r="Q213" s="803"/>
      <c r="R213" s="803"/>
      <c r="S213" s="803"/>
      <c r="T213" s="803"/>
      <c r="U213" s="803"/>
      <c r="V213" s="803"/>
      <c r="W213" s="803"/>
      <c r="X213" s="803"/>
      <c r="Y213" s="918"/>
    </row>
    <row r="214" spans="2:29" ht="29.25" customHeight="1">
      <c r="B214" s="938"/>
      <c r="C214" s="954"/>
      <c r="D214" s="955"/>
      <c r="E214" s="955"/>
      <c r="F214" s="955"/>
      <c r="G214" s="955"/>
      <c r="H214" s="955"/>
      <c r="I214" s="955"/>
      <c r="J214" s="955"/>
      <c r="K214" s="956"/>
      <c r="L214" s="917" t="s">
        <v>853</v>
      </c>
      <c r="M214" s="803"/>
      <c r="N214" s="803"/>
      <c r="O214" s="803"/>
      <c r="P214" s="803"/>
      <c r="Q214" s="803"/>
      <c r="R214" s="803"/>
      <c r="S214" s="803"/>
      <c r="T214" s="803"/>
      <c r="U214" s="803"/>
      <c r="V214" s="803"/>
      <c r="W214" s="803"/>
      <c r="X214" s="803"/>
      <c r="Y214" s="918"/>
    </row>
    <row r="215" spans="2:29" ht="29.25" customHeight="1">
      <c r="B215" s="939"/>
      <c r="C215" s="957"/>
      <c r="D215" s="958"/>
      <c r="E215" s="958"/>
      <c r="F215" s="958"/>
      <c r="G215" s="958"/>
      <c r="H215" s="958"/>
      <c r="I215" s="958"/>
      <c r="J215" s="958"/>
      <c r="K215" s="959"/>
      <c r="L215" s="932" t="s">
        <v>854</v>
      </c>
      <c r="M215" s="933"/>
      <c r="N215" s="933"/>
      <c r="O215" s="933"/>
      <c r="P215" s="933"/>
      <c r="Q215" s="933"/>
      <c r="R215" s="933"/>
      <c r="S215" s="933"/>
      <c r="T215" s="933"/>
      <c r="U215" s="933"/>
      <c r="V215" s="933"/>
      <c r="W215" s="933"/>
      <c r="X215" s="933"/>
      <c r="Y215" s="934"/>
    </row>
    <row r="216" spans="2:29" ht="16.5">
      <c r="B216" s="468"/>
      <c r="C216" s="922"/>
      <c r="D216" s="922"/>
      <c r="E216" s="922"/>
      <c r="F216" s="922"/>
      <c r="G216" s="922"/>
      <c r="H216" s="922"/>
      <c r="I216" s="922"/>
      <c r="J216" s="922"/>
      <c r="K216" s="922"/>
      <c r="L216" s="915"/>
      <c r="M216" s="915"/>
      <c r="N216" s="915"/>
      <c r="O216" s="915"/>
      <c r="P216" s="915"/>
      <c r="Q216" s="915"/>
      <c r="R216" s="915"/>
      <c r="S216" s="915"/>
      <c r="T216" s="915"/>
      <c r="U216" s="915"/>
      <c r="V216" s="915"/>
      <c r="W216" s="915"/>
      <c r="X216" s="915"/>
      <c r="Y216" s="915"/>
    </row>
    <row r="217" spans="2:29" ht="16.5" customHeight="1">
      <c r="B217" s="883" t="s">
        <v>866</v>
      </c>
      <c r="C217" s="883"/>
      <c r="D217" s="883"/>
      <c r="E217" s="883"/>
      <c r="F217" s="883"/>
      <c r="G217" s="883"/>
      <c r="H217" s="883"/>
      <c r="I217" s="883"/>
      <c r="J217" s="883"/>
      <c r="K217" s="883"/>
      <c r="L217" s="883"/>
      <c r="M217" s="883"/>
      <c r="N217" s="883"/>
      <c r="O217" s="883"/>
      <c r="P217" s="883"/>
      <c r="Q217" s="883"/>
      <c r="R217" s="883"/>
      <c r="S217" s="883"/>
      <c r="T217" s="883"/>
      <c r="U217" s="883"/>
      <c r="V217" s="883"/>
      <c r="W217" s="883"/>
      <c r="X217" s="883"/>
      <c r="Y217" s="883"/>
    </row>
    <row r="218" spans="2:29" ht="16.5">
      <c r="C218" s="923"/>
      <c r="D218" s="923"/>
      <c r="E218" s="923"/>
      <c r="F218" s="923"/>
      <c r="G218" s="923"/>
      <c r="H218" s="923"/>
      <c r="I218" s="923"/>
      <c r="J218" s="923"/>
      <c r="K218" s="923"/>
      <c r="L218" s="803"/>
      <c r="M218" s="803"/>
      <c r="N218" s="803"/>
      <c r="O218" s="803"/>
      <c r="P218" s="803"/>
      <c r="Q218" s="803"/>
      <c r="R218" s="803"/>
      <c r="S218" s="803"/>
      <c r="T218" s="803"/>
      <c r="U218" s="803"/>
      <c r="V218" s="803"/>
      <c r="W218" s="803"/>
      <c r="X218" s="803"/>
      <c r="Y218" s="803"/>
    </row>
    <row r="219" spans="2:29" ht="16.5">
      <c r="C219" s="923"/>
      <c r="D219" s="923"/>
      <c r="E219" s="923"/>
      <c r="F219" s="923"/>
      <c r="G219" s="923"/>
      <c r="H219" s="923"/>
      <c r="I219" s="923"/>
      <c r="J219" s="923"/>
      <c r="K219" s="923"/>
      <c r="L219" s="803"/>
      <c r="M219" s="803"/>
      <c r="N219" s="803"/>
      <c r="O219" s="803"/>
      <c r="P219" s="803"/>
      <c r="Q219" s="803"/>
      <c r="R219" s="803"/>
      <c r="S219" s="803"/>
      <c r="T219" s="803"/>
      <c r="U219" s="803"/>
      <c r="V219" s="803"/>
      <c r="W219" s="803"/>
      <c r="X219" s="803"/>
      <c r="Y219" s="803"/>
    </row>
    <row r="220" spans="2:29" ht="53.25" customHeight="1">
      <c r="B220" s="469">
        <v>1</v>
      </c>
      <c r="C220" s="929" t="s">
        <v>867</v>
      </c>
      <c r="D220" s="930"/>
      <c r="E220" s="930"/>
      <c r="F220" s="930"/>
      <c r="G220" s="930"/>
      <c r="H220" s="930"/>
      <c r="I220" s="930"/>
      <c r="J220" s="930"/>
      <c r="K220" s="931"/>
      <c r="L220" s="977" t="s">
        <v>868</v>
      </c>
      <c r="M220" s="878"/>
      <c r="N220" s="878"/>
      <c r="O220" s="878"/>
      <c r="P220" s="878"/>
      <c r="Q220" s="878"/>
      <c r="R220" s="878"/>
      <c r="S220" s="878"/>
      <c r="T220" s="878"/>
      <c r="U220" s="878"/>
      <c r="V220" s="878"/>
      <c r="W220" s="878"/>
      <c r="X220" s="878"/>
      <c r="Y220" s="879"/>
    </row>
    <row r="221" spans="2:29" ht="33.75" customHeight="1">
      <c r="B221" s="469">
        <v>2</v>
      </c>
      <c r="C221" s="919" t="s">
        <v>855</v>
      </c>
      <c r="D221" s="920"/>
      <c r="E221" s="920"/>
      <c r="F221" s="920"/>
      <c r="G221" s="920"/>
      <c r="H221" s="920"/>
      <c r="I221" s="920"/>
      <c r="J221" s="920"/>
      <c r="K221" s="921"/>
      <c r="L221" s="926" t="s">
        <v>1389</v>
      </c>
      <c r="M221" s="927"/>
      <c r="N221" s="927"/>
      <c r="O221" s="927"/>
      <c r="P221" s="927"/>
      <c r="Q221" s="927"/>
      <c r="R221" s="927"/>
      <c r="S221" s="927"/>
      <c r="T221" s="927"/>
      <c r="U221" s="927"/>
      <c r="V221" s="927"/>
      <c r="W221" s="927"/>
      <c r="X221" s="927"/>
      <c r="Y221" s="928"/>
    </row>
    <row r="222" spans="2:29" ht="33.75" customHeight="1">
      <c r="B222" s="470">
        <v>2.1</v>
      </c>
      <c r="C222" s="919" t="s">
        <v>856</v>
      </c>
      <c r="D222" s="920"/>
      <c r="E222" s="920"/>
      <c r="F222" s="920"/>
      <c r="G222" s="920"/>
      <c r="H222" s="920"/>
      <c r="I222" s="920"/>
      <c r="J222" s="920"/>
      <c r="K222" s="921"/>
      <c r="L222" s="790" t="s">
        <v>1547</v>
      </c>
      <c r="M222" s="791"/>
      <c r="N222" s="791"/>
      <c r="O222" s="791"/>
      <c r="P222" s="791"/>
      <c r="Q222" s="791"/>
      <c r="R222" s="791"/>
      <c r="S222" s="791"/>
      <c r="T222" s="791"/>
      <c r="U222" s="791"/>
      <c r="V222" s="791"/>
      <c r="W222" s="791"/>
      <c r="X222" s="791"/>
      <c r="Y222" s="792"/>
      <c r="AC222" t="s">
        <v>1546</v>
      </c>
    </row>
    <row r="223" spans="2:29" ht="33.75" customHeight="1">
      <c r="B223" s="471">
        <v>2.2000000000000002</v>
      </c>
      <c r="C223" s="935" t="s">
        <v>857</v>
      </c>
      <c r="D223" s="922"/>
      <c r="E223" s="922"/>
      <c r="F223" s="922"/>
      <c r="G223" s="922"/>
      <c r="H223" s="922"/>
      <c r="I223" s="922"/>
      <c r="J223" s="922"/>
      <c r="K223" s="936"/>
      <c r="L223" s="914" t="s">
        <v>869</v>
      </c>
      <c r="M223" s="915"/>
      <c r="N223" s="915"/>
      <c r="O223" s="915"/>
      <c r="P223" s="915"/>
      <c r="Q223" s="915"/>
      <c r="R223" s="915"/>
      <c r="S223" s="915"/>
      <c r="T223" s="915"/>
      <c r="U223" s="915"/>
      <c r="V223" s="915"/>
      <c r="W223" s="915"/>
      <c r="X223" s="915"/>
      <c r="Y223" s="916"/>
    </row>
    <row r="224" spans="2:29" ht="33.75" customHeight="1">
      <c r="B224" s="472"/>
      <c r="C224" s="940"/>
      <c r="D224" s="941"/>
      <c r="E224" s="941"/>
      <c r="F224" s="941"/>
      <c r="G224" s="941"/>
      <c r="H224" s="941"/>
      <c r="I224" s="941"/>
      <c r="J224" s="941"/>
      <c r="K224" s="942"/>
      <c r="L224" s="932" t="s">
        <v>870</v>
      </c>
      <c r="M224" s="933"/>
      <c r="N224" s="933"/>
      <c r="O224" s="933"/>
      <c r="P224" s="933"/>
      <c r="Q224" s="933"/>
      <c r="R224" s="933"/>
      <c r="S224" s="933"/>
      <c r="T224" s="933"/>
      <c r="U224" s="933"/>
      <c r="V224" s="933"/>
      <c r="W224" s="933"/>
      <c r="X224" s="933"/>
      <c r="Y224" s="934"/>
    </row>
    <row r="225" spans="2:25" ht="33.75" customHeight="1">
      <c r="B225" s="469">
        <v>3</v>
      </c>
      <c r="C225" s="919" t="s">
        <v>858</v>
      </c>
      <c r="D225" s="920"/>
      <c r="E225" s="920"/>
      <c r="F225" s="920"/>
      <c r="G225" s="920"/>
      <c r="H225" s="920"/>
      <c r="I225" s="920"/>
      <c r="J225" s="920"/>
      <c r="K225" s="921"/>
      <c r="L225" s="790" t="s">
        <v>859</v>
      </c>
      <c r="M225" s="791"/>
      <c r="N225" s="791"/>
      <c r="O225" s="791"/>
      <c r="P225" s="791"/>
      <c r="Q225" s="791"/>
      <c r="R225" s="791"/>
      <c r="S225" s="791"/>
      <c r="T225" s="791"/>
      <c r="U225" s="791"/>
      <c r="V225" s="791"/>
      <c r="W225" s="791"/>
      <c r="X225" s="791"/>
      <c r="Y225" s="792"/>
    </row>
    <row r="226" spans="2:25" ht="33.75" customHeight="1">
      <c r="B226" s="469">
        <v>4</v>
      </c>
      <c r="C226" s="919" t="s">
        <v>860</v>
      </c>
      <c r="D226" s="920"/>
      <c r="E226" s="920"/>
      <c r="F226" s="920"/>
      <c r="G226" s="920"/>
      <c r="H226" s="920"/>
      <c r="I226" s="920"/>
      <c r="J226" s="920"/>
      <c r="K226" s="921"/>
      <c r="L226" s="790" t="s">
        <v>871</v>
      </c>
      <c r="M226" s="791"/>
      <c r="N226" s="791"/>
      <c r="O226" s="791"/>
      <c r="P226" s="791"/>
      <c r="Q226" s="791"/>
      <c r="R226" s="791"/>
      <c r="S226" s="791"/>
      <c r="T226" s="791"/>
      <c r="U226" s="791"/>
      <c r="V226" s="791"/>
      <c r="W226" s="791"/>
      <c r="X226" s="791"/>
      <c r="Y226" s="792"/>
    </row>
    <row r="227" spans="2:25" ht="33.75" customHeight="1">
      <c r="B227" s="469">
        <v>5</v>
      </c>
      <c r="C227" s="919" t="s">
        <v>861</v>
      </c>
      <c r="D227" s="920"/>
      <c r="E227" s="920"/>
      <c r="F227" s="920"/>
      <c r="G227" s="920"/>
      <c r="H227" s="920"/>
      <c r="I227" s="920"/>
      <c r="J227" s="920"/>
      <c r="K227" s="921"/>
      <c r="L227" s="924">
        <v>1500000</v>
      </c>
      <c r="M227" s="791"/>
      <c r="N227" s="791"/>
      <c r="O227" s="791"/>
      <c r="P227" s="791"/>
      <c r="Q227" s="791"/>
      <c r="R227" s="791"/>
      <c r="S227" s="791"/>
      <c r="T227" s="791"/>
      <c r="U227" s="791"/>
      <c r="V227" s="791"/>
      <c r="W227" s="791"/>
      <c r="X227" s="791"/>
      <c r="Y227" s="792"/>
    </row>
    <row r="228" spans="2:25" ht="33.75" customHeight="1">
      <c r="B228" s="469">
        <v>6</v>
      </c>
      <c r="C228" s="919" t="s">
        <v>862</v>
      </c>
      <c r="D228" s="920"/>
      <c r="E228" s="920"/>
      <c r="F228" s="920"/>
      <c r="G228" s="920"/>
      <c r="H228" s="920"/>
      <c r="I228" s="920"/>
      <c r="J228" s="920"/>
      <c r="K228" s="921"/>
      <c r="L228" s="924">
        <v>5000000</v>
      </c>
      <c r="M228" s="791"/>
      <c r="N228" s="791"/>
      <c r="O228" s="791"/>
      <c r="P228" s="791"/>
      <c r="Q228" s="791"/>
      <c r="R228" s="791"/>
      <c r="S228" s="791"/>
      <c r="T228" s="791"/>
      <c r="U228" s="791"/>
      <c r="V228" s="791"/>
      <c r="W228" s="791"/>
      <c r="X228" s="791"/>
      <c r="Y228" s="792"/>
    </row>
    <row r="229" spans="2:25" ht="16.5">
      <c r="C229" s="922"/>
      <c r="D229" s="922"/>
      <c r="E229" s="922"/>
      <c r="F229" s="922"/>
      <c r="G229" s="922"/>
      <c r="H229" s="922"/>
      <c r="I229" s="922"/>
      <c r="J229" s="922"/>
      <c r="K229" s="922"/>
      <c r="L229" s="803"/>
      <c r="M229" s="803"/>
      <c r="N229" s="803"/>
      <c r="O229" s="803"/>
      <c r="P229" s="803"/>
      <c r="Q229" s="803"/>
      <c r="R229" s="803"/>
      <c r="S229" s="803"/>
      <c r="T229" s="803"/>
      <c r="U229" s="803"/>
      <c r="V229" s="803"/>
      <c r="W229" s="803"/>
      <c r="X229" s="803"/>
      <c r="Y229" s="803"/>
    </row>
    <row r="230" spans="2:25" ht="16.5">
      <c r="C230" s="923"/>
      <c r="D230" s="923"/>
      <c r="E230" s="923"/>
      <c r="F230" s="923"/>
      <c r="G230" s="923"/>
      <c r="H230" s="923"/>
      <c r="I230" s="923"/>
      <c r="J230" s="923"/>
      <c r="K230" s="923"/>
      <c r="L230" s="803"/>
      <c r="M230" s="803"/>
      <c r="N230" s="803"/>
      <c r="O230" s="803"/>
      <c r="P230" s="803"/>
      <c r="Q230" s="803"/>
      <c r="R230" s="803"/>
      <c r="S230" s="803"/>
      <c r="T230" s="803"/>
      <c r="U230" s="803"/>
      <c r="V230" s="803"/>
      <c r="W230" s="803"/>
      <c r="X230" s="803"/>
      <c r="Y230" s="803"/>
    </row>
    <row r="231" spans="2:25" ht="16.5">
      <c r="C231" s="923"/>
      <c r="D231" s="923"/>
      <c r="E231" s="923"/>
      <c r="F231" s="923"/>
      <c r="G231" s="923"/>
      <c r="H231" s="923"/>
      <c r="I231" s="923"/>
      <c r="J231" s="923"/>
      <c r="K231" s="923"/>
      <c r="L231" s="803"/>
      <c r="M231" s="803"/>
      <c r="N231" s="803"/>
      <c r="O231" s="803"/>
      <c r="P231" s="803"/>
      <c r="Q231" s="803"/>
      <c r="R231" s="803"/>
      <c r="S231" s="803"/>
      <c r="T231" s="803"/>
      <c r="U231" s="803"/>
      <c r="V231" s="803"/>
      <c r="W231" s="803"/>
      <c r="X231" s="803"/>
      <c r="Y231" s="803"/>
    </row>
    <row r="232" spans="2:25" ht="16.5">
      <c r="C232" s="923"/>
      <c r="D232" s="923"/>
      <c r="E232" s="923"/>
      <c r="F232" s="923"/>
      <c r="G232" s="923"/>
      <c r="H232" s="923"/>
      <c r="I232" s="923"/>
      <c r="J232" s="923"/>
      <c r="K232" s="923"/>
      <c r="L232" s="803"/>
      <c r="M232" s="803"/>
      <c r="N232" s="803"/>
      <c r="O232" s="803"/>
      <c r="P232" s="803"/>
      <c r="Q232" s="803"/>
      <c r="R232" s="803"/>
      <c r="S232" s="803"/>
      <c r="T232" s="803"/>
      <c r="U232" s="803"/>
      <c r="V232" s="803"/>
      <c r="W232" s="803"/>
      <c r="X232" s="803"/>
      <c r="Y232" s="803"/>
    </row>
    <row r="233" spans="2:25" ht="16.5">
      <c r="C233" s="465"/>
      <c r="D233" s="465"/>
      <c r="E233" s="465"/>
      <c r="F233" s="465"/>
      <c r="G233" s="465"/>
      <c r="H233" s="465"/>
      <c r="I233" s="465"/>
      <c r="J233" s="465"/>
      <c r="K233" s="465"/>
      <c r="L233" s="448"/>
      <c r="M233" s="448"/>
      <c r="N233" s="448"/>
      <c r="O233" s="448"/>
      <c r="P233" s="448"/>
      <c r="Q233" s="448"/>
      <c r="R233" s="448"/>
      <c r="S233" s="448"/>
      <c r="T233" s="448"/>
      <c r="U233" s="448"/>
      <c r="V233" s="448"/>
      <c r="W233" s="448"/>
      <c r="X233" s="448"/>
      <c r="Y233" s="448"/>
    </row>
    <row r="234" spans="2:25" ht="16.5" customHeight="1">
      <c r="B234" s="883" t="s">
        <v>872</v>
      </c>
      <c r="C234" s="883"/>
      <c r="D234" s="883"/>
      <c r="E234" s="883"/>
      <c r="F234" s="883"/>
      <c r="G234" s="883"/>
      <c r="H234" s="883"/>
      <c r="I234" s="883"/>
      <c r="J234" s="883"/>
      <c r="K234" s="883"/>
      <c r="L234" s="883"/>
      <c r="M234" s="883"/>
      <c r="N234" s="883"/>
      <c r="O234" s="883"/>
      <c r="P234" s="883"/>
      <c r="Q234" s="883"/>
      <c r="R234" s="883"/>
      <c r="S234" s="883"/>
      <c r="T234" s="883"/>
      <c r="U234" s="883"/>
      <c r="V234" s="883"/>
      <c r="W234" s="883"/>
      <c r="X234" s="883"/>
      <c r="Y234" s="883"/>
    </row>
    <row r="236" spans="2:25" ht="29.25" customHeight="1">
      <c r="B236" s="473">
        <v>1</v>
      </c>
      <c r="C236" s="909" t="str">
        <f>+[9]Sheet1!$C$6</f>
        <v>लतीश विठ्ठल वेताळ</v>
      </c>
      <c r="D236" s="909"/>
      <c r="E236" s="909"/>
      <c r="F236" s="909"/>
      <c r="G236" s="855" t="str">
        <f>+[9]Sheet1!$D$7</f>
        <v>पुरुष</v>
      </c>
      <c r="H236" s="855"/>
      <c r="I236" s="978" t="str">
        <f>+[9]Sheet1!$E$7</f>
        <v>खुला प्रवर्ग</v>
      </c>
      <c r="J236" s="978"/>
      <c r="K236" s="855" t="str">
        <f>+[9]Sheet1!$F$7</f>
        <v>संचालक</v>
      </c>
      <c r="L236" s="855"/>
      <c r="M236" s="855" t="str">
        <f>+[9]Sheet1!$G$6</f>
        <v>०.२० (हे)</v>
      </c>
      <c r="N236" s="855"/>
      <c r="O236" s="855" t="str">
        <f>+[9]Sheet1!$H$7</f>
        <v>B. com</v>
      </c>
      <c r="P236" s="855"/>
      <c r="Q236" s="855" t="str">
        <f>+[9]Sheet1!$I$6</f>
        <v>ABOPW0476B</v>
      </c>
      <c r="R236" s="855"/>
      <c r="S236" s="855"/>
      <c r="T236" s="979">
        <f>+[9]Sheet1!$J$6</f>
        <v>518163055021</v>
      </c>
      <c r="U236" s="979"/>
      <c r="V236" s="979"/>
      <c r="W236" s="855">
        <f>+[9]Sheet1!$K$7</f>
        <v>9011065024</v>
      </c>
      <c r="X236" s="855"/>
      <c r="Y236" s="855"/>
    </row>
    <row r="237" spans="2:25" ht="34.5" customHeight="1">
      <c r="B237" s="473">
        <v>2</v>
      </c>
      <c r="C237" s="909" t="str">
        <f>+[9]Sheet1!$C$8</f>
        <v>विश्वजित इंद्रजीत सिंग</v>
      </c>
      <c r="D237" s="909"/>
      <c r="E237" s="909"/>
      <c r="F237" s="909"/>
      <c r="G237" s="855" t="str">
        <f>+[9]Sheet1!$D$7</f>
        <v>पुरुष</v>
      </c>
      <c r="H237" s="855"/>
      <c r="I237" s="978" t="str">
        <f>+[9]Sheet1!$E$7</f>
        <v>खुला प्रवर्ग</v>
      </c>
      <c r="J237" s="978"/>
      <c r="K237" s="855" t="str">
        <f>+[9]Sheet1!$F$7</f>
        <v>संचालक</v>
      </c>
      <c r="L237" s="855"/>
      <c r="M237" s="855" t="str">
        <f>+[9]Sheet1!$G$6</f>
        <v>०.२० (हे)</v>
      </c>
      <c r="N237" s="855"/>
      <c r="O237" s="855" t="str">
        <f>+[9]Sheet1!$H$7</f>
        <v>B. com</v>
      </c>
      <c r="P237" s="855"/>
      <c r="Q237" s="855" t="s">
        <v>1644</v>
      </c>
      <c r="R237" s="855"/>
      <c r="S237" s="855"/>
      <c r="T237" s="979">
        <v>315090338347</v>
      </c>
      <c r="U237" s="979"/>
      <c r="V237" s="979"/>
      <c r="W237" s="855">
        <v>9011040777</v>
      </c>
      <c r="X237" s="855"/>
      <c r="Y237" s="855"/>
    </row>
    <row r="238" spans="2:25" ht="33" customHeight="1">
      <c r="B238" s="473">
        <v>3</v>
      </c>
      <c r="C238" s="909" t="str">
        <f>+[9]Sheet1!$C$10</f>
        <v>द्वारकानाथ कारभारी गुजर</v>
      </c>
      <c r="D238" s="909"/>
      <c r="E238" s="909"/>
      <c r="F238" s="909"/>
      <c r="G238" s="855" t="str">
        <f>+[9]Sheet1!$D$7</f>
        <v>पुरुष</v>
      </c>
      <c r="H238" s="855"/>
      <c r="I238" s="978" t="str">
        <f>+[9]Sheet1!$E$7</f>
        <v>खुला प्रवर्ग</v>
      </c>
      <c r="J238" s="978"/>
      <c r="K238" s="855" t="str">
        <f>+[9]Sheet1!$F$7</f>
        <v>संचालक</v>
      </c>
      <c r="L238" s="855"/>
      <c r="M238" s="855" t="str">
        <f>+[9]Sheet1!$G$6</f>
        <v>०.२० (हे)</v>
      </c>
      <c r="N238" s="855"/>
      <c r="O238" s="855" t="str">
        <f>+[9]Sheet1!$H$7</f>
        <v>B. com</v>
      </c>
      <c r="P238" s="855"/>
      <c r="Q238" s="855" t="s">
        <v>1645</v>
      </c>
      <c r="R238" s="855"/>
      <c r="S238" s="855"/>
      <c r="T238" s="979">
        <v>970950645407</v>
      </c>
      <c r="U238" s="979"/>
      <c r="V238" s="979"/>
      <c r="W238" s="855">
        <v>9011065031</v>
      </c>
      <c r="X238" s="855"/>
      <c r="Y238" s="855"/>
    </row>
    <row r="239" spans="2:25" ht="38.25" customHeight="1">
      <c r="B239" s="473">
        <v>4</v>
      </c>
      <c r="C239" s="909" t="str">
        <f>+[9]Sheet1!$C$12</f>
        <v>किरण विठ्ठल वेताळ</v>
      </c>
      <c r="D239" s="909"/>
      <c r="E239" s="909"/>
      <c r="F239" s="909"/>
      <c r="G239" s="855" t="str">
        <f>+[9]Sheet1!$D$7</f>
        <v>पुरुष</v>
      </c>
      <c r="H239" s="855"/>
      <c r="I239" s="978" t="str">
        <f>+[9]Sheet1!$E$7</f>
        <v>खुला प्रवर्ग</v>
      </c>
      <c r="J239" s="978"/>
      <c r="K239" s="855" t="str">
        <f>+[9]Sheet1!$F$7</f>
        <v>संचालक</v>
      </c>
      <c r="L239" s="855"/>
      <c r="M239" s="855" t="str">
        <f>+[9]Sheet1!$G$6</f>
        <v>०.२० (हे)</v>
      </c>
      <c r="N239" s="855"/>
      <c r="O239" s="855" t="s">
        <v>1642</v>
      </c>
      <c r="P239" s="855"/>
      <c r="Q239" s="855" t="s">
        <v>1646</v>
      </c>
      <c r="R239" s="855"/>
      <c r="S239" s="855"/>
      <c r="T239" s="979">
        <v>871336398582</v>
      </c>
      <c r="U239" s="979"/>
      <c r="V239" s="979"/>
      <c r="W239" s="855">
        <v>9527248426</v>
      </c>
      <c r="X239" s="855"/>
      <c r="Y239" s="855"/>
    </row>
    <row r="240" spans="2:25" ht="36" customHeight="1">
      <c r="B240" s="473">
        <v>5</v>
      </c>
      <c r="C240" s="909" t="s">
        <v>1548</v>
      </c>
      <c r="D240" s="909"/>
      <c r="E240" s="909"/>
      <c r="F240" s="909"/>
      <c r="G240" s="855" t="s">
        <v>884</v>
      </c>
      <c r="H240" s="855"/>
      <c r="I240" s="978" t="str">
        <f>+[9]Sheet1!$E$7</f>
        <v>खुला प्रवर्ग</v>
      </c>
      <c r="J240" s="978"/>
      <c r="K240" s="855" t="str">
        <f>+[9]Sheet1!$F$7</f>
        <v>संचालक</v>
      </c>
      <c r="L240" s="855"/>
      <c r="M240" s="855" t="str">
        <f>+[9]Sheet1!$G$6</f>
        <v>०.२० (हे)</v>
      </c>
      <c r="N240" s="855"/>
      <c r="O240" s="855" t="str">
        <f>+[9]Sheet1!$H$7</f>
        <v>B. com</v>
      </c>
      <c r="P240" s="855"/>
      <c r="Q240" s="855" t="s">
        <v>1649</v>
      </c>
      <c r="R240" s="855"/>
      <c r="S240" s="855"/>
      <c r="T240" s="979">
        <v>558702779632</v>
      </c>
      <c r="U240" s="979"/>
      <c r="V240" s="979"/>
      <c r="W240" s="855">
        <v>7499595968</v>
      </c>
      <c r="X240" s="855"/>
      <c r="Y240" s="855"/>
    </row>
    <row r="241" spans="2:25" ht="38.25" customHeight="1">
      <c r="B241" s="473">
        <v>6</v>
      </c>
      <c r="C241" s="909" t="s">
        <v>1549</v>
      </c>
      <c r="D241" s="909"/>
      <c r="E241" s="909"/>
      <c r="F241" s="909"/>
      <c r="G241" s="855" t="s">
        <v>884</v>
      </c>
      <c r="H241" s="855"/>
      <c r="I241" s="981" t="s">
        <v>1550</v>
      </c>
      <c r="J241" s="981"/>
      <c r="K241" s="855" t="str">
        <f>+[9]Sheet1!$F$7</f>
        <v>संचालक</v>
      </c>
      <c r="L241" s="855"/>
      <c r="M241" s="855" t="str">
        <f>+[9]Sheet1!$G$6</f>
        <v>०.२० (हे)</v>
      </c>
      <c r="N241" s="855"/>
      <c r="O241" s="855" t="s">
        <v>1643</v>
      </c>
      <c r="P241" s="855"/>
      <c r="Q241" s="855" t="s">
        <v>1648</v>
      </c>
      <c r="R241" s="855"/>
      <c r="S241" s="855"/>
      <c r="T241" s="979">
        <v>838180999558</v>
      </c>
      <c r="U241" s="979"/>
      <c r="V241" s="979"/>
      <c r="W241" s="855">
        <v>8530062519</v>
      </c>
      <c r="X241" s="855"/>
      <c r="Y241" s="855"/>
    </row>
    <row r="244" spans="2:25">
      <c r="D244" t="s">
        <v>873</v>
      </c>
    </row>
    <row r="245" spans="2:25">
      <c r="D245" t="s">
        <v>874</v>
      </c>
    </row>
    <row r="247" spans="2:25" ht="33.75" customHeight="1">
      <c r="D247" s="980" t="s">
        <v>875</v>
      </c>
      <c r="E247" s="980"/>
      <c r="F247" s="980"/>
      <c r="G247" s="980"/>
      <c r="H247" s="980"/>
      <c r="I247" s="980"/>
      <c r="J247" s="980"/>
      <c r="K247" s="980"/>
      <c r="L247" s="980"/>
      <c r="M247" s="980"/>
      <c r="N247" s="980"/>
      <c r="O247" s="980"/>
      <c r="P247" s="980"/>
      <c r="Q247" s="980"/>
      <c r="R247" s="980"/>
      <c r="S247" s="980"/>
      <c r="T247" s="980"/>
      <c r="U247" s="980"/>
      <c r="V247" s="980"/>
      <c r="W247" s="980"/>
      <c r="X247" s="980"/>
      <c r="Y247" s="980"/>
    </row>
    <row r="249" spans="2:25" ht="45" customHeight="1">
      <c r="D249" s="475" t="s">
        <v>881</v>
      </c>
      <c r="E249" s="867" t="s">
        <v>880</v>
      </c>
      <c r="F249" s="867"/>
      <c r="G249" s="867"/>
      <c r="H249" s="867"/>
      <c r="I249" s="867"/>
      <c r="J249" s="845" t="s">
        <v>879</v>
      </c>
      <c r="K249" s="845"/>
      <c r="L249" s="867" t="s">
        <v>878</v>
      </c>
      <c r="M249" s="867"/>
      <c r="N249" s="867"/>
      <c r="O249" s="867"/>
      <c r="P249" s="867"/>
      <c r="Q249" s="867" t="s">
        <v>877</v>
      </c>
      <c r="R249" s="867"/>
      <c r="S249" s="867"/>
      <c r="T249" s="867"/>
      <c r="U249" s="845" t="s">
        <v>876</v>
      </c>
      <c r="V249" s="845"/>
      <c r="W249" s="845"/>
      <c r="X249" s="845"/>
      <c r="Y249" s="845"/>
    </row>
    <row r="250" spans="2:25">
      <c r="D250" s="525">
        <v>1</v>
      </c>
      <c r="E250" s="867" t="s">
        <v>1554</v>
      </c>
      <c r="F250" s="867"/>
      <c r="G250" s="867"/>
      <c r="H250" s="867"/>
      <c r="I250" s="867"/>
      <c r="J250" s="982">
        <v>15</v>
      </c>
      <c r="K250" s="845"/>
      <c r="L250" s="867" t="s">
        <v>1552</v>
      </c>
      <c r="M250" s="867"/>
      <c r="N250" s="867"/>
      <c r="O250" s="867"/>
      <c r="P250" s="867"/>
      <c r="Q250" s="778" t="s">
        <v>1553</v>
      </c>
      <c r="R250" s="778"/>
      <c r="S250" s="778"/>
      <c r="T250" s="778"/>
      <c r="U250" s="836" t="s">
        <v>1551</v>
      </c>
      <c r="V250" s="836"/>
      <c r="W250" s="836"/>
      <c r="X250" s="836"/>
      <c r="Y250" s="836"/>
    </row>
    <row r="251" spans="2:25">
      <c r="D251" s="475"/>
      <c r="E251" s="867"/>
      <c r="F251" s="867"/>
      <c r="G251" s="867"/>
      <c r="H251" s="867"/>
      <c r="I251" s="867"/>
      <c r="J251" s="845"/>
      <c r="K251" s="845"/>
      <c r="L251" s="867"/>
      <c r="M251" s="867"/>
      <c r="N251" s="867"/>
      <c r="O251" s="867"/>
      <c r="P251" s="867"/>
      <c r="Q251" s="867"/>
      <c r="R251" s="867"/>
      <c r="S251" s="867"/>
      <c r="T251" s="867"/>
      <c r="U251" s="845"/>
      <c r="V251" s="845"/>
      <c r="W251" s="845"/>
      <c r="X251" s="845"/>
      <c r="Y251" s="845"/>
    </row>
    <row r="252" spans="2:25">
      <c r="D252" s="475"/>
      <c r="E252" s="867"/>
      <c r="F252" s="867"/>
      <c r="G252" s="867"/>
      <c r="H252" s="867"/>
      <c r="I252" s="867"/>
      <c r="J252" s="845"/>
      <c r="K252" s="845"/>
      <c r="L252" s="867"/>
      <c r="M252" s="867"/>
      <c r="N252" s="867"/>
      <c r="O252" s="867"/>
      <c r="P252" s="867"/>
      <c r="Q252" s="867"/>
      <c r="R252" s="867"/>
      <c r="S252" s="867"/>
      <c r="T252" s="867"/>
      <c r="U252" s="845"/>
      <c r="V252" s="845"/>
      <c r="W252" s="845"/>
      <c r="X252" s="845"/>
      <c r="Y252" s="845"/>
    </row>
    <row r="253" spans="2:25">
      <c r="D253" s="475"/>
      <c r="E253" s="867"/>
      <c r="F253" s="867"/>
      <c r="G253" s="867"/>
      <c r="H253" s="867"/>
      <c r="I253" s="867"/>
      <c r="J253" s="845"/>
      <c r="K253" s="845"/>
      <c r="L253" s="867"/>
      <c r="M253" s="867"/>
      <c r="N253" s="867"/>
      <c r="O253" s="867"/>
      <c r="P253" s="867"/>
      <c r="Q253" s="867"/>
      <c r="R253" s="867"/>
      <c r="S253" s="867"/>
      <c r="T253" s="867"/>
      <c r="U253" s="845"/>
      <c r="V253" s="845"/>
      <c r="W253" s="845"/>
      <c r="X253" s="845"/>
      <c r="Y253" s="845"/>
    </row>
    <row r="254" spans="2:25">
      <c r="D254" s="475"/>
      <c r="E254" s="867"/>
      <c r="F254" s="867"/>
      <c r="G254" s="867"/>
      <c r="H254" s="867"/>
      <c r="I254" s="867"/>
      <c r="J254" s="845"/>
      <c r="K254" s="845"/>
      <c r="L254" s="867"/>
      <c r="M254" s="867"/>
      <c r="N254" s="867"/>
      <c r="O254" s="867"/>
      <c r="P254" s="867"/>
      <c r="Q254" s="867"/>
      <c r="R254" s="867"/>
      <c r="S254" s="867"/>
      <c r="T254" s="867"/>
      <c r="U254" s="845"/>
      <c r="V254" s="845"/>
      <c r="W254" s="845"/>
      <c r="X254" s="845"/>
      <c r="Y254" s="845"/>
    </row>
    <row r="255" spans="2:25">
      <c r="D255" s="475"/>
      <c r="E255" s="867"/>
      <c r="F255" s="867"/>
      <c r="G255" s="867"/>
      <c r="H255" s="867"/>
      <c r="I255" s="867"/>
      <c r="J255" s="845"/>
      <c r="K255" s="845"/>
      <c r="L255" s="867"/>
      <c r="M255" s="867"/>
      <c r="N255" s="867"/>
      <c r="O255" s="867"/>
      <c r="P255" s="867"/>
      <c r="Q255" s="867"/>
      <c r="R255" s="867"/>
      <c r="S255" s="867"/>
      <c r="T255" s="867"/>
      <c r="U255" s="845"/>
      <c r="V255" s="845"/>
      <c r="W255" s="845"/>
      <c r="X255" s="845"/>
      <c r="Y255" s="845"/>
    </row>
    <row r="256" spans="2:25">
      <c r="D256" s="475"/>
      <c r="E256" s="867"/>
      <c r="F256" s="867"/>
      <c r="G256" s="867"/>
      <c r="H256" s="867"/>
      <c r="I256" s="867"/>
      <c r="J256" s="845"/>
      <c r="K256" s="845"/>
      <c r="L256" s="867"/>
      <c r="M256" s="867"/>
      <c r="N256" s="867"/>
      <c r="O256" s="867"/>
      <c r="P256" s="867"/>
      <c r="Q256" s="867"/>
      <c r="R256" s="867"/>
      <c r="S256" s="867"/>
      <c r="T256" s="867"/>
      <c r="U256" s="845"/>
      <c r="V256" s="845"/>
      <c r="W256" s="845"/>
      <c r="X256" s="845"/>
      <c r="Y256" s="845"/>
    </row>
    <row r="259" spans="4:25">
      <c r="D259" s="5" t="s">
        <v>882</v>
      </c>
    </row>
    <row r="261" spans="4:25" ht="132.75" customHeight="1">
      <c r="D261" s="845" t="s">
        <v>893</v>
      </c>
      <c r="E261" s="845"/>
      <c r="F261" s="845" t="s">
        <v>883</v>
      </c>
      <c r="G261" s="845"/>
      <c r="H261" s="868" t="s">
        <v>884</v>
      </c>
      <c r="I261" s="870"/>
      <c r="J261" s="868" t="s">
        <v>885</v>
      </c>
      <c r="K261" s="870"/>
      <c r="L261" s="845" t="s">
        <v>886</v>
      </c>
      <c r="M261" s="845"/>
      <c r="N261" s="845" t="s">
        <v>887</v>
      </c>
      <c r="O261" s="845"/>
      <c r="P261" s="845" t="s">
        <v>888</v>
      </c>
      <c r="Q261" s="845"/>
      <c r="R261" s="845" t="s">
        <v>889</v>
      </c>
      <c r="S261" s="845"/>
      <c r="T261" s="845" t="s">
        <v>890</v>
      </c>
      <c r="U261" s="845"/>
      <c r="V261" s="845" t="s">
        <v>891</v>
      </c>
      <c r="W261" s="845"/>
      <c r="X261" s="845" t="s">
        <v>892</v>
      </c>
      <c r="Y261" s="845"/>
    </row>
    <row r="262" spans="4:25">
      <c r="D262" s="983">
        <v>1</v>
      </c>
      <c r="E262" s="836"/>
      <c r="F262" s="986">
        <v>262</v>
      </c>
      <c r="G262" s="987"/>
      <c r="H262" s="984">
        <v>96</v>
      </c>
      <c r="I262" s="985"/>
      <c r="J262" s="984">
        <v>166</v>
      </c>
      <c r="K262" s="985"/>
      <c r="L262" s="986">
        <v>14</v>
      </c>
      <c r="M262" s="987"/>
      <c r="N262" s="874">
        <v>4</v>
      </c>
      <c r="O262" s="876"/>
      <c r="P262" s="983">
        <v>254</v>
      </c>
      <c r="Q262" s="836"/>
      <c r="R262" s="836" t="s">
        <v>706</v>
      </c>
      <c r="S262" s="836"/>
      <c r="T262" s="836" t="s">
        <v>706</v>
      </c>
      <c r="U262" s="836"/>
      <c r="V262" s="836" t="s">
        <v>706</v>
      </c>
      <c r="W262" s="836"/>
      <c r="X262" s="983">
        <v>8</v>
      </c>
      <c r="Y262" s="836"/>
    </row>
    <row r="266" spans="4:25" ht="33.75" customHeight="1">
      <c r="D266" s="820" t="s">
        <v>894</v>
      </c>
      <c r="E266" s="820"/>
      <c r="F266" s="820"/>
      <c r="G266" s="820"/>
      <c r="H266" s="820"/>
      <c r="I266" s="820"/>
      <c r="J266" s="820"/>
      <c r="K266" s="820"/>
      <c r="L266" s="820"/>
      <c r="M266" s="820"/>
      <c r="N266" s="820"/>
      <c r="O266" s="820"/>
      <c r="P266" s="820"/>
      <c r="Q266" s="820"/>
      <c r="R266" s="820"/>
      <c r="S266" s="820"/>
      <c r="T266" s="820"/>
      <c r="U266" s="820"/>
      <c r="V266" s="820"/>
      <c r="W266" s="820"/>
      <c r="X266" s="820"/>
      <c r="Y266" s="820"/>
    </row>
    <row r="269" spans="4:25" ht="29.25" customHeight="1">
      <c r="D269" s="476" t="s">
        <v>881</v>
      </c>
      <c r="E269" s="845" t="s">
        <v>898</v>
      </c>
      <c r="F269" s="845"/>
      <c r="G269" s="845"/>
      <c r="H269" s="845"/>
      <c r="I269" s="845"/>
      <c r="J269" s="845"/>
      <c r="K269" s="845" t="s">
        <v>849</v>
      </c>
      <c r="L269" s="845"/>
      <c r="M269" s="845"/>
      <c r="N269" s="845"/>
      <c r="O269" s="845"/>
      <c r="P269" s="845"/>
      <c r="Q269" s="845" t="s">
        <v>897</v>
      </c>
      <c r="R269" s="845"/>
      <c r="S269" s="845"/>
      <c r="T269" s="845" t="s">
        <v>896</v>
      </c>
      <c r="U269" s="845"/>
      <c r="V269" s="845"/>
      <c r="W269" s="845" t="s">
        <v>895</v>
      </c>
      <c r="X269" s="845"/>
      <c r="Y269" s="845"/>
    </row>
    <row r="270" spans="4:25">
      <c r="D270" s="477"/>
      <c r="E270" s="836"/>
      <c r="F270" s="836"/>
      <c r="G270" s="836"/>
      <c r="H270" s="836"/>
      <c r="I270" s="836"/>
      <c r="J270" s="836"/>
      <c r="K270" s="836"/>
      <c r="L270" s="836"/>
      <c r="M270" s="836"/>
      <c r="N270" s="836"/>
      <c r="O270" s="836"/>
      <c r="P270" s="836"/>
      <c r="Q270" s="836"/>
      <c r="R270" s="836"/>
      <c r="S270" s="836"/>
      <c r="T270" s="836"/>
      <c r="U270" s="836"/>
      <c r="V270" s="836"/>
      <c r="W270" s="836"/>
      <c r="X270" s="836"/>
      <c r="Y270" s="836"/>
    </row>
    <row r="271" spans="4:25">
      <c r="D271" s="477"/>
      <c r="E271" s="836"/>
      <c r="F271" s="836"/>
      <c r="G271" s="836"/>
      <c r="H271" s="836"/>
      <c r="I271" s="836"/>
      <c r="J271" s="836"/>
      <c r="K271" s="836"/>
      <c r="L271" s="836"/>
      <c r="M271" s="836"/>
      <c r="N271" s="836"/>
      <c r="O271" s="836"/>
      <c r="P271" s="836"/>
      <c r="Q271" s="836"/>
      <c r="R271" s="836"/>
      <c r="S271" s="836"/>
      <c r="T271" s="836"/>
      <c r="U271" s="836"/>
      <c r="V271" s="836"/>
      <c r="W271" s="836"/>
      <c r="X271" s="836"/>
      <c r="Y271" s="836"/>
    </row>
    <row r="272" spans="4:25">
      <c r="D272" s="477"/>
      <c r="E272" s="836"/>
      <c r="F272" s="836"/>
      <c r="G272" s="836"/>
      <c r="H272" s="836"/>
      <c r="I272" s="836"/>
      <c r="J272" s="836"/>
      <c r="K272" s="836"/>
      <c r="L272" s="836"/>
      <c r="M272" s="836"/>
      <c r="N272" s="836"/>
      <c r="O272" s="836"/>
      <c r="P272" s="836"/>
      <c r="Q272" s="836"/>
      <c r="R272" s="836"/>
      <c r="S272" s="836"/>
      <c r="T272" s="836"/>
      <c r="U272" s="836"/>
      <c r="V272" s="836"/>
      <c r="W272" s="836"/>
      <c r="X272" s="836"/>
      <c r="Y272" s="836"/>
    </row>
    <row r="274" spans="4:25">
      <c r="D274" s="5" t="s">
        <v>899</v>
      </c>
    </row>
    <row r="276" spans="4:25" ht="33.75" customHeight="1">
      <c r="D276" s="476" t="s">
        <v>881</v>
      </c>
      <c r="E276" s="871" t="s">
        <v>900</v>
      </c>
      <c r="F276" s="872"/>
      <c r="G276" s="872"/>
      <c r="H276" s="872"/>
      <c r="I276" s="872"/>
      <c r="J276" s="872"/>
      <c r="K276" s="872"/>
      <c r="L276" s="873"/>
      <c r="M276" s="871" t="s">
        <v>901</v>
      </c>
      <c r="N276" s="872"/>
      <c r="O276" s="872"/>
      <c r="P276" s="873"/>
      <c r="Q276" s="845" t="s">
        <v>902</v>
      </c>
      <c r="R276" s="845"/>
      <c r="S276" s="845"/>
      <c r="T276" s="845" t="s">
        <v>903</v>
      </c>
      <c r="U276" s="845"/>
      <c r="V276" s="845"/>
      <c r="W276" s="845" t="s">
        <v>904</v>
      </c>
      <c r="X276" s="845"/>
      <c r="Y276" s="845"/>
    </row>
    <row r="277" spans="4:25">
      <c r="D277" s="476" t="s">
        <v>910</v>
      </c>
      <c r="E277" s="871" t="s">
        <v>905</v>
      </c>
      <c r="F277" s="872"/>
      <c r="G277" s="872"/>
      <c r="H277" s="872"/>
      <c r="I277" s="872"/>
      <c r="J277" s="872"/>
      <c r="K277" s="872"/>
      <c r="L277" s="873"/>
      <c r="M277" s="871"/>
      <c r="N277" s="872"/>
      <c r="O277" s="872"/>
      <c r="P277" s="873"/>
      <c r="Q277" s="845"/>
      <c r="R277" s="845"/>
      <c r="S277" s="845"/>
      <c r="T277" s="845"/>
      <c r="U277" s="845"/>
      <c r="V277" s="845"/>
      <c r="W277" s="845"/>
      <c r="X277" s="845"/>
      <c r="Y277" s="845"/>
    </row>
    <row r="278" spans="4:25">
      <c r="D278" s="478">
        <v>1</v>
      </c>
      <c r="E278" s="871"/>
      <c r="F278" s="872"/>
      <c r="G278" s="872"/>
      <c r="H278" s="872"/>
      <c r="I278" s="872"/>
      <c r="J278" s="872"/>
      <c r="K278" s="872"/>
      <c r="L278" s="873"/>
      <c r="M278" s="871"/>
      <c r="N278" s="872"/>
      <c r="O278" s="872"/>
      <c r="P278" s="873"/>
      <c r="Q278" s="845"/>
      <c r="R278" s="845"/>
      <c r="S278" s="845"/>
      <c r="T278" s="845"/>
      <c r="U278" s="845"/>
      <c r="V278" s="845"/>
      <c r="W278" s="845"/>
      <c r="X278" s="845"/>
      <c r="Y278" s="845"/>
    </row>
    <row r="279" spans="4:25">
      <c r="D279" s="478">
        <v>2</v>
      </c>
      <c r="E279" s="871"/>
      <c r="F279" s="872"/>
      <c r="G279" s="872"/>
      <c r="H279" s="872"/>
      <c r="I279" s="872"/>
      <c r="J279" s="872"/>
      <c r="K279" s="872"/>
      <c r="L279" s="873"/>
      <c r="M279" s="871"/>
      <c r="N279" s="872"/>
      <c r="O279" s="872"/>
      <c r="P279" s="873"/>
      <c r="Q279" s="845"/>
      <c r="R279" s="845"/>
      <c r="S279" s="845"/>
      <c r="T279" s="845"/>
      <c r="U279" s="845"/>
      <c r="V279" s="845"/>
      <c r="W279" s="845"/>
      <c r="X279" s="845"/>
      <c r="Y279" s="845"/>
    </row>
    <row r="280" spans="4:25">
      <c r="D280" s="476"/>
      <c r="E280" s="871" t="s">
        <v>906</v>
      </c>
      <c r="F280" s="872"/>
      <c r="G280" s="872"/>
      <c r="H280" s="872"/>
      <c r="I280" s="872"/>
      <c r="J280" s="872"/>
      <c r="K280" s="872"/>
      <c r="L280" s="873"/>
      <c r="M280" s="871"/>
      <c r="N280" s="872"/>
      <c r="O280" s="872"/>
      <c r="P280" s="873"/>
      <c r="Q280" s="845"/>
      <c r="R280" s="845"/>
      <c r="S280" s="845"/>
      <c r="T280" s="845"/>
      <c r="U280" s="845"/>
      <c r="V280" s="845"/>
      <c r="W280" s="845"/>
      <c r="X280" s="845"/>
      <c r="Y280" s="845"/>
    </row>
    <row r="281" spans="4:25">
      <c r="D281" s="476"/>
      <c r="E281" s="871"/>
      <c r="F281" s="872"/>
      <c r="G281" s="872"/>
      <c r="H281" s="872"/>
      <c r="I281" s="872"/>
      <c r="J281" s="872"/>
      <c r="K281" s="872"/>
      <c r="L281" s="873"/>
      <c r="M281" s="871"/>
      <c r="N281" s="872"/>
      <c r="O281" s="872"/>
      <c r="P281" s="873"/>
      <c r="Q281" s="845"/>
      <c r="R281" s="845"/>
      <c r="S281" s="845"/>
      <c r="T281" s="845"/>
      <c r="U281" s="845"/>
      <c r="V281" s="845"/>
      <c r="W281" s="845"/>
      <c r="X281" s="845"/>
      <c r="Y281" s="845"/>
    </row>
    <row r="282" spans="4:25">
      <c r="D282" s="476" t="s">
        <v>911</v>
      </c>
      <c r="E282" s="871" t="s">
        <v>907</v>
      </c>
      <c r="F282" s="872"/>
      <c r="G282" s="872"/>
      <c r="H282" s="872"/>
      <c r="I282" s="872"/>
      <c r="J282" s="872"/>
      <c r="K282" s="872"/>
      <c r="L282" s="873"/>
      <c r="M282" s="871"/>
      <c r="N282" s="872"/>
      <c r="O282" s="872"/>
      <c r="P282" s="873"/>
      <c r="Q282" s="845"/>
      <c r="R282" s="845"/>
      <c r="S282" s="845"/>
      <c r="T282" s="845"/>
      <c r="U282" s="845"/>
      <c r="V282" s="845"/>
      <c r="W282" s="845"/>
      <c r="X282" s="845"/>
      <c r="Y282" s="845"/>
    </row>
    <row r="283" spans="4:25">
      <c r="D283" s="478">
        <v>1</v>
      </c>
      <c r="E283" s="871"/>
      <c r="F283" s="872"/>
      <c r="G283" s="872"/>
      <c r="H283" s="872"/>
      <c r="I283" s="872"/>
      <c r="J283" s="872"/>
      <c r="K283" s="872"/>
      <c r="L283" s="873"/>
      <c r="M283" s="871"/>
      <c r="N283" s="872"/>
      <c r="O283" s="872"/>
      <c r="P283" s="873"/>
      <c r="Q283" s="845"/>
      <c r="R283" s="845"/>
      <c r="S283" s="845"/>
      <c r="T283" s="845"/>
      <c r="U283" s="845"/>
      <c r="V283" s="845"/>
      <c r="W283" s="845"/>
      <c r="X283" s="845"/>
      <c r="Y283" s="845"/>
    </row>
    <row r="284" spans="4:25">
      <c r="D284" s="478">
        <v>2</v>
      </c>
      <c r="E284" s="871"/>
      <c r="F284" s="872"/>
      <c r="G284" s="872"/>
      <c r="H284" s="872"/>
      <c r="I284" s="872"/>
      <c r="J284" s="872"/>
      <c r="K284" s="872"/>
      <c r="L284" s="873"/>
      <c r="M284" s="871"/>
      <c r="N284" s="872"/>
      <c r="O284" s="872"/>
      <c r="P284" s="873"/>
      <c r="Q284" s="845"/>
      <c r="R284" s="845"/>
      <c r="S284" s="845"/>
      <c r="T284" s="845"/>
      <c r="U284" s="845"/>
      <c r="V284" s="845"/>
      <c r="W284" s="845"/>
      <c r="X284" s="845"/>
      <c r="Y284" s="845"/>
    </row>
    <row r="285" spans="4:25">
      <c r="D285" s="476"/>
      <c r="E285" s="871"/>
      <c r="F285" s="872"/>
      <c r="G285" s="872"/>
      <c r="H285" s="872"/>
      <c r="I285" s="872"/>
      <c r="J285" s="872"/>
      <c r="K285" s="872"/>
      <c r="L285" s="873"/>
      <c r="M285" s="871"/>
      <c r="N285" s="872"/>
      <c r="O285" s="872"/>
      <c r="P285" s="873"/>
      <c r="Q285" s="845"/>
      <c r="R285" s="845"/>
      <c r="S285" s="845"/>
      <c r="T285" s="845"/>
      <c r="U285" s="845"/>
      <c r="V285" s="845"/>
      <c r="W285" s="845"/>
      <c r="X285" s="845"/>
      <c r="Y285" s="845"/>
    </row>
    <row r="286" spans="4:25">
      <c r="D286" s="476"/>
      <c r="E286" s="871" t="s">
        <v>908</v>
      </c>
      <c r="F286" s="872"/>
      <c r="G286" s="872"/>
      <c r="H286" s="872"/>
      <c r="I286" s="872"/>
      <c r="J286" s="872"/>
      <c r="K286" s="872"/>
      <c r="L286" s="873"/>
      <c r="M286" s="871"/>
      <c r="N286" s="872"/>
      <c r="O286" s="872"/>
      <c r="P286" s="873"/>
      <c r="Q286" s="845"/>
      <c r="R286" s="845"/>
      <c r="S286" s="845"/>
      <c r="T286" s="845"/>
      <c r="U286" s="845"/>
      <c r="V286" s="845"/>
      <c r="W286" s="845"/>
      <c r="X286" s="845"/>
      <c r="Y286" s="845"/>
    </row>
    <row r="287" spans="4:25">
      <c r="D287" s="476"/>
      <c r="E287" s="871" t="s">
        <v>909</v>
      </c>
      <c r="F287" s="872"/>
      <c r="G287" s="872"/>
      <c r="H287" s="872"/>
      <c r="I287" s="872"/>
      <c r="J287" s="872"/>
      <c r="K287" s="872"/>
      <c r="L287" s="873"/>
      <c r="M287" s="871"/>
      <c r="N287" s="872"/>
      <c r="O287" s="872"/>
      <c r="P287" s="873"/>
      <c r="Q287" s="845"/>
      <c r="R287" s="845"/>
      <c r="S287" s="845"/>
      <c r="T287" s="845"/>
      <c r="U287" s="845"/>
      <c r="V287" s="845"/>
      <c r="W287" s="845"/>
      <c r="X287" s="845"/>
      <c r="Y287" s="845"/>
    </row>
    <row r="289" spans="4:25">
      <c r="D289" s="479" t="s">
        <v>912</v>
      </c>
    </row>
    <row r="290" spans="4:25">
      <c r="D290" s="479" t="s">
        <v>913</v>
      </c>
    </row>
    <row r="292" spans="4:25" ht="38.25" customHeight="1">
      <c r="D292" s="476" t="s">
        <v>881</v>
      </c>
      <c r="E292" s="871" t="s">
        <v>914</v>
      </c>
      <c r="F292" s="872"/>
      <c r="G292" s="872"/>
      <c r="H292" s="872"/>
      <c r="I292" s="872"/>
      <c r="J292" s="872"/>
      <c r="K292" s="872"/>
      <c r="L292" s="873"/>
      <c r="M292" s="871" t="s">
        <v>915</v>
      </c>
      <c r="N292" s="872"/>
      <c r="O292" s="872"/>
      <c r="P292" s="873"/>
      <c r="Q292" s="871" t="s">
        <v>916</v>
      </c>
      <c r="R292" s="872"/>
      <c r="S292" s="872"/>
      <c r="T292" s="872"/>
      <c r="U292" s="872"/>
      <c r="V292" s="873"/>
      <c r="W292" s="845" t="s">
        <v>917</v>
      </c>
      <c r="X292" s="845"/>
      <c r="Y292" s="845"/>
    </row>
    <row r="293" spans="4:25" ht="38.25" customHeight="1">
      <c r="D293" s="480">
        <v>1</v>
      </c>
      <c r="E293" s="988" t="str">
        <f>+[9]Sheet1!C35</f>
        <v>उद्यम आधार</v>
      </c>
      <c r="F293" s="989"/>
      <c r="G293" s="989"/>
      <c r="H293" s="989"/>
      <c r="I293" s="989"/>
      <c r="J293" s="989"/>
      <c r="K293" s="989"/>
      <c r="L293" s="990"/>
      <c r="M293" s="871" t="str">
        <f>+[9]Sheet1!D35</f>
        <v>MSME</v>
      </c>
      <c r="N293" s="872"/>
      <c r="O293" s="872"/>
      <c r="P293" s="873"/>
      <c r="Q293" s="871" t="str">
        <f>+[9]Sheet1!E35</f>
        <v>UDYAM-MH-01-0019972</v>
      </c>
      <c r="R293" s="872"/>
      <c r="S293" s="872"/>
      <c r="T293" s="872"/>
      <c r="U293" s="872"/>
      <c r="V293" s="873"/>
      <c r="W293" s="845" t="str">
        <f>+[9]Sheet1!F35</f>
        <v>-NA-</v>
      </c>
      <c r="X293" s="845"/>
      <c r="Y293" s="845"/>
    </row>
    <row r="294" spans="4:25" ht="38.25" customHeight="1">
      <c r="D294" s="480">
        <v>2</v>
      </c>
      <c r="E294" s="988" t="str">
        <f>+[9]Sheet1!C36</f>
        <v xml:space="preserve">FSSAI लीसिन्से </v>
      </c>
      <c r="F294" s="989"/>
      <c r="G294" s="989"/>
      <c r="H294" s="989"/>
      <c r="I294" s="989"/>
      <c r="J294" s="989"/>
      <c r="K294" s="989"/>
      <c r="L294" s="990"/>
      <c r="M294" s="871" t="str">
        <f>+[9]Sheet1!D36</f>
        <v>FDA</v>
      </c>
      <c r="N294" s="872"/>
      <c r="O294" s="872"/>
      <c r="P294" s="873"/>
      <c r="Q294" s="992">
        <f>+[9]Sheet1!E36</f>
        <v>11521033000688</v>
      </c>
      <c r="R294" s="993"/>
      <c r="S294" s="993"/>
      <c r="T294" s="993"/>
      <c r="U294" s="993"/>
      <c r="V294" s="994"/>
      <c r="W294" s="991">
        <v>44882</v>
      </c>
      <c r="X294" s="991"/>
      <c r="Y294" s="991"/>
    </row>
    <row r="295" spans="4:25" ht="51.75" customHeight="1">
      <c r="D295" s="480">
        <v>3</v>
      </c>
      <c r="E295" s="988" t="str">
        <f>+[9]Sheet1!C37</f>
        <v>ISO</v>
      </c>
      <c r="F295" s="989"/>
      <c r="G295" s="989"/>
      <c r="H295" s="989"/>
      <c r="I295" s="989"/>
      <c r="J295" s="989"/>
      <c r="K295" s="989"/>
      <c r="L295" s="990"/>
      <c r="M295" s="871" t="str">
        <f>+[9]Sheet1!D37</f>
        <v>Paramount Quality Certification</v>
      </c>
      <c r="N295" s="872"/>
      <c r="O295" s="872"/>
      <c r="P295" s="873"/>
      <c r="Q295" s="871" t="str">
        <f>+[9]Sheet1!E37</f>
        <v xml:space="preserve"> AAUCA5741p</v>
      </c>
      <c r="R295" s="872"/>
      <c r="S295" s="872"/>
      <c r="T295" s="872"/>
      <c r="U295" s="872"/>
      <c r="V295" s="873"/>
      <c r="W295" s="991">
        <f>+[9]Sheet1!F37</f>
        <v>45484</v>
      </c>
      <c r="X295" s="991"/>
      <c r="Y295" s="991"/>
    </row>
    <row r="296" spans="4:25" ht="38.25" customHeight="1">
      <c r="D296" s="480">
        <v>4</v>
      </c>
      <c r="E296" s="988" t="str">
        <f>+[9]Sheet1!C39</f>
        <v xml:space="preserve">IMPORT EXPORT CODE </v>
      </c>
      <c r="F296" s="989"/>
      <c r="G296" s="989"/>
      <c r="H296" s="989"/>
      <c r="I296" s="989"/>
      <c r="J296" s="989"/>
      <c r="K296" s="989"/>
      <c r="L296" s="990"/>
      <c r="M296" s="871" t="str">
        <f>+[9]Sheet1!$D$39</f>
        <v>DGFT ( Govt. of India)</v>
      </c>
      <c r="N296" s="872"/>
      <c r="O296" s="872"/>
      <c r="P296" s="873"/>
      <c r="Q296" s="871" t="str">
        <f>+[9]Sheet1!$E$39</f>
        <v xml:space="preserve"> AAUCA5741p</v>
      </c>
      <c r="R296" s="872"/>
      <c r="S296" s="872"/>
      <c r="T296" s="872"/>
      <c r="U296" s="872"/>
      <c r="V296" s="873"/>
      <c r="W296" s="845" t="str">
        <f>+W293</f>
        <v>-NA-</v>
      </c>
      <c r="X296" s="845"/>
      <c r="Y296" s="845"/>
    </row>
    <row r="297" spans="4:25" ht="47.25" customHeight="1">
      <c r="D297" s="480">
        <v>5</v>
      </c>
      <c r="E297" s="988" t="str">
        <f>+[9]Sheet1!C40</f>
        <v>APEDA</v>
      </c>
      <c r="F297" s="989"/>
      <c r="G297" s="989"/>
      <c r="H297" s="989"/>
      <c r="I297" s="989"/>
      <c r="J297" s="989"/>
      <c r="K297" s="989"/>
      <c r="L297" s="990"/>
      <c r="M297" s="871" t="s">
        <v>918</v>
      </c>
      <c r="N297" s="872"/>
      <c r="O297" s="872"/>
      <c r="P297" s="873"/>
      <c r="Q297" s="871">
        <v>213159</v>
      </c>
      <c r="R297" s="872"/>
      <c r="S297" s="872"/>
      <c r="T297" s="872"/>
      <c r="U297" s="872"/>
      <c r="V297" s="873"/>
      <c r="W297" s="991">
        <f>+[9]Sheet1!$F$40</f>
        <v>46334</v>
      </c>
      <c r="X297" s="991"/>
      <c r="Y297" s="991"/>
    </row>
    <row r="298" spans="4:25" ht="25.5" customHeight="1">
      <c r="D298" s="480">
        <v>6</v>
      </c>
      <c r="E298" s="988" t="str">
        <f>+[9]Sheet1!C42</f>
        <v>GST</v>
      </c>
      <c r="F298" s="989"/>
      <c r="G298" s="989"/>
      <c r="H298" s="989"/>
      <c r="I298" s="989"/>
      <c r="J298" s="989"/>
      <c r="K298" s="989"/>
      <c r="L298" s="990"/>
      <c r="M298" s="871" t="s">
        <v>920</v>
      </c>
      <c r="N298" s="872"/>
      <c r="O298" s="872"/>
      <c r="P298" s="873"/>
      <c r="Q298" s="871" t="s">
        <v>919</v>
      </c>
      <c r="R298" s="872"/>
      <c r="S298" s="872"/>
      <c r="T298" s="872"/>
      <c r="U298" s="872"/>
      <c r="V298" s="873"/>
      <c r="W298" s="991" t="s">
        <v>921</v>
      </c>
      <c r="X298" s="991"/>
      <c r="Y298" s="991"/>
    </row>
    <row r="299" spans="4:25" ht="25.5" customHeight="1">
      <c r="D299" s="480">
        <v>7</v>
      </c>
      <c r="E299" s="988" t="str">
        <f>+[9]Sheet1!C43</f>
        <v>STARTUP INDIA</v>
      </c>
      <c r="F299" s="989"/>
      <c r="G299" s="989"/>
      <c r="H299" s="989"/>
      <c r="I299" s="989"/>
      <c r="J299" s="989"/>
      <c r="K299" s="989"/>
      <c r="L299" s="990"/>
      <c r="M299" s="871" t="s">
        <v>920</v>
      </c>
      <c r="N299" s="872"/>
      <c r="O299" s="872"/>
      <c r="P299" s="873"/>
      <c r="Q299" s="871" t="s">
        <v>922</v>
      </c>
      <c r="R299" s="872"/>
      <c r="S299" s="872"/>
      <c r="T299" s="872"/>
      <c r="U299" s="872"/>
      <c r="V299" s="873"/>
      <c r="W299" s="991" t="s">
        <v>923</v>
      </c>
      <c r="X299" s="991"/>
      <c r="Y299" s="991"/>
    </row>
    <row r="302" spans="4:25">
      <c r="D302" s="5" t="s">
        <v>924</v>
      </c>
    </row>
    <row r="303" spans="4:25">
      <c r="E303" s="729"/>
      <c r="F303" s="729"/>
      <c r="G303" s="729"/>
      <c r="H303" s="729"/>
      <c r="I303" s="729"/>
      <c r="J303" s="729"/>
      <c r="K303" s="729"/>
      <c r="L303" s="729"/>
      <c r="M303" s="729"/>
      <c r="N303" s="729"/>
      <c r="O303" s="729"/>
      <c r="P303" s="729"/>
      <c r="Q303" s="729"/>
      <c r="R303" s="729"/>
      <c r="S303" s="729"/>
      <c r="T303" s="729"/>
      <c r="U303" s="729"/>
      <c r="V303" s="729"/>
      <c r="W303" s="729"/>
      <c r="X303" s="729"/>
      <c r="Y303" s="729"/>
    </row>
    <row r="304" spans="4:25">
      <c r="D304" s="867" t="s">
        <v>930</v>
      </c>
      <c r="E304" s="867" t="s">
        <v>929</v>
      </c>
      <c r="F304" s="867"/>
      <c r="G304" s="867"/>
      <c r="H304" s="867"/>
      <c r="I304" s="867"/>
      <c r="J304" s="867"/>
      <c r="K304" s="867"/>
      <c r="L304" s="867" t="s">
        <v>925</v>
      </c>
      <c r="M304" s="867"/>
      <c r="N304" s="867"/>
      <c r="O304" s="867"/>
      <c r="P304" s="867"/>
      <c r="Q304" s="867"/>
      <c r="R304" s="867"/>
      <c r="S304" s="867"/>
      <c r="T304" s="867"/>
      <c r="U304" s="867"/>
      <c r="V304" s="867"/>
      <c r="W304" s="867"/>
      <c r="X304" s="867"/>
      <c r="Y304" s="867"/>
    </row>
    <row r="305" spans="4:25">
      <c r="D305" s="867"/>
      <c r="E305" s="867"/>
      <c r="F305" s="867"/>
      <c r="G305" s="867"/>
      <c r="H305" s="867"/>
      <c r="I305" s="867"/>
      <c r="J305" s="867"/>
      <c r="K305" s="867"/>
      <c r="L305" s="867" t="s">
        <v>926</v>
      </c>
      <c r="M305" s="867"/>
      <c r="N305" s="867"/>
      <c r="O305" s="867"/>
      <c r="P305" s="867"/>
      <c r="Q305" s="867"/>
      <c r="R305" s="867"/>
      <c r="S305" s="867" t="s">
        <v>927</v>
      </c>
      <c r="T305" s="867"/>
      <c r="U305" s="867"/>
      <c r="V305" s="867"/>
      <c r="W305" s="867"/>
      <c r="X305" s="867"/>
      <c r="Y305" s="867"/>
    </row>
    <row r="306" spans="4:25">
      <c r="D306" s="9" t="s">
        <v>910</v>
      </c>
      <c r="E306" s="788" t="s">
        <v>928</v>
      </c>
      <c r="F306" s="788"/>
      <c r="G306" s="788"/>
      <c r="H306" s="788"/>
      <c r="I306" s="788"/>
      <c r="J306" s="788"/>
      <c r="K306" s="788"/>
      <c r="L306" s="788"/>
      <c r="M306" s="788"/>
      <c r="N306" s="788"/>
      <c r="O306" s="788"/>
      <c r="P306" s="788"/>
      <c r="Q306" s="788"/>
      <c r="R306" s="788"/>
      <c r="S306" s="788"/>
      <c r="T306" s="788"/>
      <c r="U306" s="788"/>
      <c r="V306" s="788"/>
      <c r="W306" s="788"/>
      <c r="X306" s="788"/>
      <c r="Y306" s="788"/>
    </row>
    <row r="307" spans="4:25">
      <c r="D307" s="473">
        <v>1</v>
      </c>
      <c r="E307" s="786"/>
      <c r="F307" s="786"/>
      <c r="G307" s="786"/>
      <c r="H307" s="786"/>
      <c r="I307" s="786"/>
      <c r="J307" s="786"/>
      <c r="K307" s="786"/>
      <c r="L307" s="789">
        <v>230</v>
      </c>
      <c r="M307" s="786"/>
      <c r="N307" s="786"/>
      <c r="O307" s="786"/>
      <c r="P307" s="786"/>
      <c r="Q307" s="786"/>
      <c r="R307" s="786"/>
      <c r="S307" s="789">
        <v>116</v>
      </c>
      <c r="T307" s="786"/>
      <c r="U307" s="786"/>
      <c r="V307" s="786"/>
      <c r="W307" s="786"/>
      <c r="X307" s="786"/>
      <c r="Y307" s="786"/>
    </row>
    <row r="308" spans="4:25">
      <c r="D308" s="473">
        <v>2</v>
      </c>
      <c r="E308" s="786"/>
      <c r="F308" s="786"/>
      <c r="G308" s="786"/>
      <c r="H308" s="786"/>
      <c r="I308" s="786"/>
      <c r="J308" s="786"/>
      <c r="K308" s="786"/>
      <c r="L308" s="786"/>
      <c r="M308" s="786"/>
      <c r="N308" s="786"/>
      <c r="O308" s="786"/>
      <c r="P308" s="786"/>
      <c r="Q308" s="786"/>
      <c r="R308" s="786"/>
      <c r="S308" s="786"/>
      <c r="T308" s="786"/>
      <c r="U308" s="786"/>
      <c r="V308" s="786"/>
      <c r="W308" s="786"/>
      <c r="X308" s="786"/>
      <c r="Y308" s="786"/>
    </row>
    <row r="309" spans="4:25">
      <c r="D309" s="9"/>
      <c r="E309" s="786"/>
      <c r="F309" s="786"/>
      <c r="G309" s="786"/>
      <c r="H309" s="786"/>
      <c r="I309" s="786"/>
      <c r="J309" s="786"/>
      <c r="K309" s="786"/>
      <c r="L309" s="786"/>
      <c r="M309" s="786"/>
      <c r="N309" s="786"/>
      <c r="O309" s="786"/>
      <c r="P309" s="786"/>
      <c r="Q309" s="786"/>
      <c r="R309" s="786"/>
      <c r="S309" s="786"/>
      <c r="T309" s="786"/>
      <c r="U309" s="786"/>
      <c r="V309" s="786"/>
      <c r="W309" s="786"/>
      <c r="X309" s="786"/>
      <c r="Y309" s="786"/>
    </row>
    <row r="310" spans="4:25">
      <c r="D310" s="9" t="s">
        <v>911</v>
      </c>
      <c r="E310" s="788" t="s">
        <v>931</v>
      </c>
      <c r="F310" s="788"/>
      <c r="G310" s="788"/>
      <c r="H310" s="788"/>
      <c r="I310" s="788"/>
      <c r="J310" s="788"/>
      <c r="K310" s="788"/>
      <c r="L310" s="788"/>
      <c r="M310" s="788"/>
      <c r="N310" s="788"/>
      <c r="O310" s="788"/>
      <c r="P310" s="788"/>
      <c r="Q310" s="788"/>
      <c r="R310" s="788"/>
      <c r="S310" s="788"/>
      <c r="T310" s="788"/>
      <c r="U310" s="788"/>
      <c r="V310" s="788"/>
      <c r="W310" s="788"/>
      <c r="X310" s="788"/>
      <c r="Y310" s="788"/>
    </row>
    <row r="311" spans="4:25">
      <c r="D311" s="473">
        <v>1</v>
      </c>
      <c r="E311" s="786"/>
      <c r="F311" s="786"/>
      <c r="G311" s="786"/>
      <c r="H311" s="786"/>
      <c r="I311" s="786"/>
      <c r="J311" s="786"/>
      <c r="K311" s="786"/>
      <c r="L311" s="789">
        <v>20</v>
      </c>
      <c r="M311" s="786"/>
      <c r="N311" s="786"/>
      <c r="O311" s="786"/>
      <c r="P311" s="786"/>
      <c r="Q311" s="786"/>
      <c r="R311" s="786"/>
      <c r="S311" s="789">
        <v>9</v>
      </c>
      <c r="T311" s="786"/>
      <c r="U311" s="786"/>
      <c r="V311" s="786"/>
      <c r="W311" s="786"/>
      <c r="X311" s="786"/>
      <c r="Y311" s="786"/>
    </row>
    <row r="312" spans="4:25">
      <c r="D312" s="473">
        <v>2</v>
      </c>
      <c r="E312" s="786"/>
      <c r="F312" s="786"/>
      <c r="G312" s="786"/>
      <c r="H312" s="786"/>
      <c r="I312" s="786"/>
      <c r="J312" s="786"/>
      <c r="K312" s="786"/>
      <c r="L312" s="786"/>
      <c r="M312" s="786"/>
      <c r="N312" s="786"/>
      <c r="O312" s="786"/>
      <c r="P312" s="786"/>
      <c r="Q312" s="786"/>
      <c r="R312" s="786"/>
      <c r="S312" s="786"/>
      <c r="T312" s="786"/>
      <c r="U312" s="786"/>
      <c r="V312" s="786"/>
      <c r="W312" s="786"/>
      <c r="X312" s="786"/>
      <c r="Y312" s="786"/>
    </row>
    <row r="313" spans="4:25">
      <c r="D313" s="9"/>
      <c r="E313" s="786"/>
      <c r="F313" s="786"/>
      <c r="G313" s="786"/>
      <c r="H313" s="786"/>
      <c r="I313" s="786"/>
      <c r="J313" s="786"/>
      <c r="K313" s="786"/>
      <c r="L313" s="786"/>
      <c r="M313" s="786"/>
      <c r="N313" s="786"/>
      <c r="O313" s="786"/>
      <c r="P313" s="786"/>
      <c r="Q313" s="786"/>
      <c r="R313" s="786"/>
      <c r="S313" s="786"/>
      <c r="T313" s="786"/>
      <c r="U313" s="786"/>
      <c r="V313" s="786"/>
      <c r="W313" s="786"/>
      <c r="X313" s="786"/>
      <c r="Y313" s="786"/>
    </row>
    <row r="314" spans="4:25">
      <c r="D314" s="9" t="s">
        <v>933</v>
      </c>
      <c r="E314" s="788" t="s">
        <v>932</v>
      </c>
      <c r="F314" s="788"/>
      <c r="G314" s="788"/>
      <c r="H314" s="788"/>
      <c r="I314" s="788"/>
      <c r="J314" s="788"/>
      <c r="K314" s="788"/>
      <c r="L314" s="788"/>
      <c r="M314" s="788"/>
      <c r="N314" s="788"/>
      <c r="O314" s="788"/>
      <c r="P314" s="788"/>
      <c r="Q314" s="788"/>
      <c r="R314" s="788"/>
      <c r="S314" s="788"/>
      <c r="T314" s="788"/>
      <c r="U314" s="788"/>
      <c r="V314" s="788"/>
      <c r="W314" s="788"/>
      <c r="X314" s="788"/>
      <c r="Y314" s="788"/>
    </row>
    <row r="315" spans="4:25">
      <c r="D315" s="473">
        <v>1</v>
      </c>
      <c r="E315" s="786"/>
      <c r="F315" s="786"/>
      <c r="G315" s="786"/>
      <c r="H315" s="786"/>
      <c r="I315" s="786"/>
      <c r="J315" s="786"/>
      <c r="K315" s="786"/>
      <c r="L315" s="789">
        <v>0</v>
      </c>
      <c r="M315" s="786"/>
      <c r="N315" s="786"/>
      <c r="O315" s="786"/>
      <c r="P315" s="786"/>
      <c r="Q315" s="786"/>
      <c r="R315" s="786"/>
      <c r="S315" s="789">
        <v>0</v>
      </c>
      <c r="T315" s="786"/>
      <c r="U315" s="786"/>
      <c r="V315" s="786"/>
      <c r="W315" s="786"/>
      <c r="X315" s="786"/>
      <c r="Y315" s="786"/>
    </row>
    <row r="316" spans="4:25">
      <c r="D316" s="473">
        <v>2</v>
      </c>
      <c r="E316" s="786"/>
      <c r="F316" s="786"/>
      <c r="G316" s="786"/>
      <c r="H316" s="786"/>
      <c r="I316" s="786"/>
      <c r="J316" s="786"/>
      <c r="K316" s="786"/>
      <c r="L316" s="786"/>
      <c r="M316" s="786"/>
      <c r="N316" s="786"/>
      <c r="O316" s="786"/>
      <c r="P316" s="786"/>
      <c r="Q316" s="786"/>
      <c r="R316" s="786"/>
      <c r="S316" s="786"/>
      <c r="T316" s="786"/>
      <c r="U316" s="786"/>
      <c r="V316" s="786"/>
      <c r="W316" s="786"/>
      <c r="X316" s="786"/>
      <c r="Y316" s="786"/>
    </row>
    <row r="317" spans="4:25">
      <c r="D317" s="9"/>
      <c r="E317" s="786"/>
      <c r="F317" s="786"/>
      <c r="G317" s="786"/>
      <c r="H317" s="786"/>
      <c r="I317" s="786"/>
      <c r="J317" s="786"/>
      <c r="K317" s="786"/>
      <c r="L317" s="786"/>
      <c r="M317" s="786"/>
      <c r="N317" s="786"/>
      <c r="O317" s="786"/>
      <c r="P317" s="786"/>
      <c r="Q317" s="786"/>
      <c r="R317" s="786"/>
      <c r="S317" s="786"/>
      <c r="T317" s="786"/>
      <c r="U317" s="786"/>
      <c r="V317" s="786"/>
      <c r="W317" s="786"/>
      <c r="X317" s="786"/>
      <c r="Y317" s="786"/>
    </row>
    <row r="318" spans="4:25">
      <c r="D318" s="9" t="s">
        <v>934</v>
      </c>
      <c r="E318" s="786" t="s">
        <v>932</v>
      </c>
      <c r="F318" s="786"/>
      <c r="G318" s="786"/>
      <c r="H318" s="786"/>
      <c r="I318" s="786"/>
      <c r="J318" s="786"/>
      <c r="K318" s="786"/>
      <c r="L318" s="786"/>
      <c r="M318" s="786"/>
      <c r="N318" s="786"/>
      <c r="O318" s="786"/>
      <c r="P318" s="786"/>
      <c r="Q318" s="786"/>
      <c r="R318" s="786"/>
      <c r="S318" s="786"/>
      <c r="T318" s="786"/>
      <c r="U318" s="786"/>
      <c r="V318" s="786"/>
      <c r="W318" s="786"/>
      <c r="X318" s="786"/>
      <c r="Y318" s="786"/>
    </row>
    <row r="319" spans="4:25">
      <c r="D319" s="473">
        <v>1</v>
      </c>
      <c r="E319" s="786"/>
      <c r="F319" s="786"/>
      <c r="G319" s="786"/>
      <c r="H319" s="786"/>
      <c r="I319" s="786"/>
      <c r="J319" s="786"/>
      <c r="K319" s="786"/>
      <c r="L319" s="789">
        <v>0</v>
      </c>
      <c r="M319" s="786"/>
      <c r="N319" s="786"/>
      <c r="O319" s="786"/>
      <c r="P319" s="786"/>
      <c r="Q319" s="786"/>
      <c r="R319" s="786"/>
      <c r="S319" s="789">
        <v>0</v>
      </c>
      <c r="T319" s="786"/>
      <c r="U319" s="786"/>
      <c r="V319" s="786"/>
      <c r="W319" s="786"/>
      <c r="X319" s="786"/>
      <c r="Y319" s="786"/>
    </row>
    <row r="320" spans="4:25">
      <c r="D320" s="473">
        <v>2</v>
      </c>
      <c r="E320" s="786"/>
      <c r="F320" s="786"/>
      <c r="G320" s="786"/>
      <c r="H320" s="786"/>
      <c r="I320" s="786"/>
      <c r="J320" s="786"/>
      <c r="K320" s="786"/>
      <c r="L320" s="786"/>
      <c r="M320" s="786"/>
      <c r="N320" s="786"/>
      <c r="O320" s="786"/>
      <c r="P320" s="786"/>
      <c r="Q320" s="786"/>
      <c r="R320" s="786"/>
      <c r="S320" s="786"/>
      <c r="T320" s="786"/>
      <c r="U320" s="786"/>
      <c r="V320" s="786"/>
      <c r="W320" s="786"/>
      <c r="X320" s="786"/>
      <c r="Y320" s="786"/>
    </row>
    <row r="321" spans="4:25">
      <c r="D321" s="9" t="s">
        <v>935</v>
      </c>
      <c r="E321" s="786" t="s">
        <v>932</v>
      </c>
      <c r="F321" s="786"/>
      <c r="G321" s="786"/>
      <c r="H321" s="786"/>
      <c r="I321" s="786"/>
      <c r="J321" s="786"/>
      <c r="K321" s="786"/>
      <c r="L321" s="786"/>
      <c r="M321" s="786"/>
      <c r="N321" s="786"/>
      <c r="O321" s="786"/>
      <c r="P321" s="786"/>
      <c r="Q321" s="786"/>
      <c r="R321" s="786"/>
      <c r="S321" s="786"/>
      <c r="T321" s="786"/>
      <c r="U321" s="786"/>
      <c r="V321" s="786"/>
      <c r="W321" s="786"/>
      <c r="X321" s="786"/>
      <c r="Y321" s="786"/>
    </row>
    <row r="322" spans="4:25">
      <c r="D322" s="473">
        <v>1</v>
      </c>
      <c r="E322" s="786"/>
      <c r="F322" s="786"/>
      <c r="G322" s="786"/>
      <c r="H322" s="786"/>
      <c r="I322" s="786"/>
      <c r="J322" s="786"/>
      <c r="K322" s="786"/>
      <c r="L322" s="789">
        <v>0</v>
      </c>
      <c r="M322" s="786"/>
      <c r="N322" s="786"/>
      <c r="O322" s="786"/>
      <c r="P322" s="786"/>
      <c r="Q322" s="786"/>
      <c r="R322" s="786"/>
      <c r="S322" s="789">
        <v>0</v>
      </c>
      <c r="T322" s="786"/>
      <c r="U322" s="786"/>
      <c r="V322" s="786"/>
      <c r="W322" s="786"/>
      <c r="X322" s="786"/>
      <c r="Y322" s="786"/>
    </row>
    <row r="323" spans="4:25">
      <c r="D323" s="473">
        <v>2</v>
      </c>
      <c r="E323" s="786"/>
      <c r="F323" s="786"/>
      <c r="G323" s="786"/>
      <c r="H323" s="786"/>
      <c r="I323" s="786"/>
      <c r="J323" s="786"/>
      <c r="K323" s="786"/>
      <c r="L323" s="786"/>
      <c r="M323" s="786"/>
      <c r="N323" s="786"/>
      <c r="O323" s="786"/>
      <c r="P323" s="786"/>
      <c r="Q323" s="786"/>
      <c r="R323" s="786"/>
      <c r="S323" s="786"/>
      <c r="T323" s="786"/>
      <c r="U323" s="786"/>
      <c r="V323" s="786"/>
      <c r="W323" s="786"/>
      <c r="X323" s="786"/>
      <c r="Y323" s="786"/>
    </row>
    <row r="324" spans="4:25">
      <c r="D324" s="9"/>
      <c r="E324" s="786"/>
      <c r="F324" s="786"/>
      <c r="G324" s="786"/>
      <c r="H324" s="786"/>
      <c r="I324" s="786"/>
      <c r="J324" s="786"/>
      <c r="K324" s="786"/>
      <c r="L324" s="786"/>
      <c r="M324" s="786"/>
      <c r="N324" s="786"/>
      <c r="O324" s="786"/>
      <c r="P324" s="786"/>
      <c r="Q324" s="786"/>
      <c r="R324" s="786"/>
      <c r="S324" s="786"/>
      <c r="T324" s="786"/>
      <c r="U324" s="786"/>
      <c r="V324" s="786"/>
      <c r="W324" s="786"/>
      <c r="X324" s="786"/>
      <c r="Y324" s="786"/>
    </row>
    <row r="325" spans="4:25">
      <c r="D325" s="9"/>
      <c r="E325" s="786"/>
      <c r="F325" s="786"/>
      <c r="G325" s="786"/>
      <c r="H325" s="786"/>
      <c r="I325" s="786"/>
      <c r="J325" s="786"/>
      <c r="K325" s="786"/>
      <c r="L325" s="786"/>
      <c r="M325" s="786"/>
      <c r="N325" s="786"/>
      <c r="O325" s="786"/>
      <c r="P325" s="786"/>
      <c r="Q325" s="786"/>
      <c r="R325" s="786"/>
      <c r="S325" s="786"/>
      <c r="T325" s="786"/>
      <c r="U325" s="786"/>
      <c r="V325" s="786"/>
      <c r="W325" s="786"/>
      <c r="X325" s="786"/>
      <c r="Y325" s="786"/>
    </row>
    <row r="326" spans="4:25">
      <c r="D326" s="9"/>
      <c r="E326" s="786"/>
      <c r="F326" s="786"/>
      <c r="G326" s="786"/>
      <c r="H326" s="786"/>
      <c r="I326" s="786"/>
      <c r="J326" s="786"/>
      <c r="K326" s="786"/>
      <c r="L326" s="786"/>
      <c r="M326" s="786"/>
      <c r="N326" s="786"/>
      <c r="O326" s="786"/>
      <c r="P326" s="786"/>
      <c r="Q326" s="786"/>
      <c r="R326" s="786"/>
      <c r="S326" s="786"/>
      <c r="T326" s="786"/>
      <c r="U326" s="786"/>
      <c r="V326" s="786"/>
      <c r="W326" s="786"/>
      <c r="X326" s="786"/>
      <c r="Y326" s="786"/>
    </row>
    <row r="328" spans="4:25">
      <c r="D328" s="5" t="s">
        <v>936</v>
      </c>
    </row>
    <row r="330" spans="4:25" ht="24.75" customHeight="1">
      <c r="D330" s="995" t="s">
        <v>937</v>
      </c>
      <c r="E330" s="995"/>
      <c r="F330" s="995"/>
      <c r="G330" s="995"/>
      <c r="H330" s="995"/>
      <c r="I330" s="995"/>
      <c r="J330" s="995"/>
      <c r="K330" s="995" t="s">
        <v>938</v>
      </c>
      <c r="L330" s="995"/>
      <c r="M330" s="995"/>
      <c r="N330" s="995"/>
      <c r="O330" s="995"/>
      <c r="P330" s="995" t="s">
        <v>938</v>
      </c>
      <c r="Q330" s="995"/>
      <c r="R330" s="995"/>
      <c r="S330" s="995"/>
      <c r="T330" s="995"/>
      <c r="U330" s="995" t="s">
        <v>939</v>
      </c>
      <c r="V330" s="995"/>
      <c r="W330" s="995"/>
      <c r="X330" s="995"/>
      <c r="Y330" s="995"/>
    </row>
    <row r="331" spans="4:25" ht="36.75" customHeight="1">
      <c r="D331" s="807" t="s">
        <v>940</v>
      </c>
      <c r="E331" s="807"/>
      <c r="F331" s="807"/>
      <c r="G331" s="807"/>
      <c r="H331" s="807"/>
      <c r="I331" s="807"/>
      <c r="J331" s="807"/>
      <c r="K331" s="898">
        <v>0</v>
      </c>
      <c r="L331" s="898"/>
      <c r="M331" s="898"/>
      <c r="N331" s="898"/>
      <c r="O331" s="898"/>
      <c r="P331" s="898">
        <v>0</v>
      </c>
      <c r="Q331" s="898"/>
      <c r="R331" s="898"/>
      <c r="S331" s="898"/>
      <c r="T331" s="898"/>
      <c r="U331" s="898" t="s">
        <v>1515</v>
      </c>
      <c r="V331" s="898"/>
      <c r="W331" s="898"/>
      <c r="X331" s="898"/>
      <c r="Y331" s="898"/>
    </row>
    <row r="333" spans="4:25">
      <c r="D333" t="s">
        <v>941</v>
      </c>
    </row>
    <row r="334" spans="4:25" ht="62.25" customHeight="1">
      <c r="D334" s="801" t="s">
        <v>942</v>
      </c>
      <c r="E334" s="801"/>
      <c r="F334" s="801"/>
      <c r="G334" s="801"/>
      <c r="H334" s="801"/>
      <c r="I334" s="801"/>
      <c r="J334" s="801"/>
      <c r="K334" s="801"/>
      <c r="L334" s="801"/>
      <c r="M334" s="801"/>
      <c r="N334" s="801"/>
      <c r="O334" s="801"/>
      <c r="P334" s="801"/>
      <c r="Q334" s="801"/>
      <c r="R334" s="801"/>
      <c r="S334" s="801"/>
      <c r="T334" s="801"/>
      <c r="U334" s="801"/>
      <c r="V334" s="801"/>
      <c r="W334" s="801"/>
      <c r="X334" s="801"/>
      <c r="Y334" s="801"/>
    </row>
    <row r="335" spans="4:25" ht="62.25" customHeight="1">
      <c r="D335" s="458"/>
      <c r="E335" s="458"/>
      <c r="F335" s="458"/>
      <c r="G335" s="458"/>
      <c r="H335" s="458"/>
      <c r="I335" s="458"/>
      <c r="J335" s="458"/>
      <c r="K335" s="458"/>
      <c r="L335" s="458"/>
      <c r="M335" s="458"/>
      <c r="N335" s="458"/>
      <c r="O335" s="458"/>
      <c r="P335" s="458"/>
      <c r="Q335" s="458"/>
      <c r="R335" s="458"/>
      <c r="S335" s="458"/>
      <c r="T335" s="458"/>
      <c r="U335" s="458"/>
      <c r="V335" s="458"/>
      <c r="W335" s="458"/>
      <c r="X335" s="458"/>
      <c r="Y335" s="458"/>
    </row>
    <row r="336" spans="4:25" ht="62.25" customHeight="1">
      <c r="D336" s="458"/>
      <c r="E336" s="458"/>
      <c r="F336" s="458"/>
      <c r="G336" s="458"/>
      <c r="H336" s="458"/>
      <c r="I336" s="458"/>
      <c r="J336" s="458"/>
      <c r="K336" s="458"/>
      <c r="L336" s="458"/>
      <c r="M336" s="458"/>
      <c r="N336" s="458"/>
      <c r="O336" s="458"/>
      <c r="P336" s="458"/>
      <c r="Q336" s="458"/>
      <c r="R336" s="458"/>
      <c r="S336" s="458"/>
      <c r="T336" s="458"/>
      <c r="U336" s="458"/>
      <c r="V336" s="458"/>
      <c r="W336" s="458"/>
      <c r="X336" s="458"/>
      <c r="Y336" s="458"/>
    </row>
    <row r="337" spans="4:25" ht="62.25" customHeight="1">
      <c r="D337" s="458"/>
      <c r="E337" s="458"/>
      <c r="F337" s="458"/>
      <c r="G337" s="458"/>
      <c r="H337" s="458"/>
      <c r="I337" s="458"/>
      <c r="J337" s="458"/>
      <c r="K337" s="458"/>
      <c r="L337" s="458"/>
      <c r="M337" s="458"/>
      <c r="N337" s="458"/>
      <c r="O337" s="458"/>
      <c r="P337" s="458"/>
      <c r="Q337" s="458"/>
      <c r="R337" s="458"/>
      <c r="S337" s="458"/>
      <c r="T337" s="458"/>
      <c r="U337" s="458"/>
      <c r="V337" s="458"/>
      <c r="W337" s="458"/>
      <c r="X337" s="458"/>
      <c r="Y337" s="458"/>
    </row>
    <row r="338" spans="4:25" ht="62.25" customHeight="1">
      <c r="D338" s="775" t="s">
        <v>1922</v>
      </c>
      <c r="E338" s="775"/>
      <c r="F338" s="775"/>
      <c r="G338" s="775"/>
      <c r="H338" s="775"/>
      <c r="I338" s="775"/>
      <c r="J338" s="775"/>
      <c r="K338" s="775"/>
      <c r="L338" s="775"/>
      <c r="M338" s="775"/>
      <c r="N338" s="775"/>
      <c r="O338" s="775"/>
      <c r="P338" s="775"/>
      <c r="Q338" s="775"/>
      <c r="R338" s="775"/>
      <c r="S338" s="775"/>
      <c r="T338" s="775"/>
      <c r="U338" s="775"/>
      <c r="V338" s="775"/>
      <c r="W338" s="775"/>
      <c r="X338" s="775"/>
      <c r="Y338" s="775"/>
    </row>
    <row r="339" spans="4:25" ht="139.5" customHeight="1">
      <c r="D339" s="774" t="s">
        <v>1924</v>
      </c>
      <c r="E339" s="774"/>
      <c r="F339" s="774"/>
      <c r="G339" s="774"/>
      <c r="H339" s="774"/>
      <c r="I339" s="774"/>
      <c r="J339" s="774"/>
      <c r="K339" s="774"/>
      <c r="L339" s="774"/>
      <c r="M339" s="774"/>
      <c r="N339" s="774"/>
      <c r="O339" s="774"/>
      <c r="P339" s="774"/>
      <c r="Q339" s="774"/>
      <c r="R339" s="774"/>
      <c r="S339" s="774"/>
      <c r="T339" s="774"/>
      <c r="U339" s="774"/>
      <c r="V339" s="774"/>
      <c r="W339" s="774"/>
      <c r="X339" s="774"/>
      <c r="Y339" s="774"/>
    </row>
    <row r="340" spans="4:25" ht="144" customHeight="1">
      <c r="D340" s="774" t="s">
        <v>1925</v>
      </c>
      <c r="E340" s="774"/>
      <c r="F340" s="774"/>
      <c r="G340" s="774"/>
      <c r="H340" s="774"/>
      <c r="I340" s="774"/>
      <c r="J340" s="774"/>
      <c r="K340" s="774"/>
      <c r="L340" s="774"/>
      <c r="M340" s="774"/>
      <c r="N340" s="774"/>
      <c r="O340" s="774"/>
      <c r="P340" s="774"/>
      <c r="Q340" s="774"/>
      <c r="R340" s="774"/>
      <c r="S340" s="774"/>
      <c r="T340" s="774"/>
      <c r="U340" s="774"/>
      <c r="V340" s="774"/>
      <c r="W340" s="774"/>
      <c r="X340" s="774"/>
      <c r="Y340" s="774"/>
    </row>
    <row r="341" spans="4:25" ht="62.25" customHeight="1">
      <c r="D341" s="776" t="s">
        <v>1926</v>
      </c>
      <c r="E341" s="776"/>
      <c r="F341" s="776"/>
      <c r="G341" s="776"/>
      <c r="H341" s="776"/>
      <c r="I341" s="776"/>
      <c r="J341" s="776"/>
      <c r="K341" s="776"/>
      <c r="L341" s="776"/>
      <c r="M341" s="776"/>
      <c r="N341" s="776"/>
      <c r="O341" s="776"/>
      <c r="P341" s="776"/>
      <c r="Q341" s="776"/>
      <c r="R341" s="776"/>
      <c r="S341" s="776"/>
      <c r="T341" s="776"/>
      <c r="U341" s="776"/>
      <c r="V341" s="776"/>
      <c r="W341" s="776"/>
      <c r="X341" s="776"/>
      <c r="Y341" s="776"/>
    </row>
    <row r="342" spans="4:25" ht="62.25" customHeight="1">
      <c r="D342" s="458"/>
      <c r="E342" s="458"/>
      <c r="F342" s="458"/>
      <c r="G342" s="458"/>
      <c r="H342" s="458"/>
      <c r="I342" s="458"/>
      <c r="J342" s="458"/>
      <c r="K342" s="458"/>
      <c r="L342" s="458"/>
      <c r="M342" s="458"/>
      <c r="N342" s="458"/>
      <c r="O342" s="458"/>
      <c r="P342" s="458"/>
      <c r="Q342" s="458"/>
      <c r="R342" s="458"/>
      <c r="S342" s="458"/>
      <c r="T342" s="458"/>
      <c r="U342" s="458"/>
      <c r="V342" s="458"/>
      <c r="W342" s="458"/>
      <c r="X342" s="458"/>
      <c r="Y342" s="458"/>
    </row>
    <row r="343" spans="4:25" ht="62.25" customHeight="1">
      <c r="D343" s="458"/>
      <c r="E343" s="458"/>
      <c r="F343" s="458"/>
      <c r="G343" s="458"/>
      <c r="H343" s="458"/>
      <c r="I343" s="458"/>
      <c r="J343" s="458"/>
      <c r="K343" s="458"/>
      <c r="L343" s="458"/>
      <c r="M343" s="458"/>
      <c r="N343" s="458"/>
      <c r="O343" s="458"/>
      <c r="P343" s="458"/>
      <c r="Q343" s="458"/>
      <c r="R343" s="458"/>
      <c r="S343" s="458"/>
      <c r="T343" s="458"/>
      <c r="U343" s="458"/>
      <c r="V343" s="458"/>
      <c r="W343" s="458"/>
      <c r="X343" s="458"/>
      <c r="Y343" s="458"/>
    </row>
    <row r="344" spans="4:25" ht="62.25" customHeight="1">
      <c r="D344" s="458"/>
      <c r="E344" s="458"/>
      <c r="F344" s="458"/>
      <c r="G344" s="458"/>
      <c r="H344" s="458"/>
      <c r="I344" s="458"/>
      <c r="J344" s="458"/>
      <c r="K344" s="458"/>
      <c r="L344" s="458"/>
      <c r="M344" s="458"/>
      <c r="N344" s="458"/>
      <c r="O344" s="458"/>
      <c r="P344" s="458"/>
      <c r="Q344" s="458"/>
      <c r="R344" s="458"/>
      <c r="S344" s="458"/>
      <c r="T344" s="458"/>
      <c r="U344" s="458"/>
      <c r="V344" s="458"/>
      <c r="W344" s="458"/>
      <c r="X344" s="458"/>
      <c r="Y344" s="458"/>
    </row>
    <row r="345" spans="4:25" ht="62.25" customHeight="1">
      <c r="D345" s="458"/>
      <c r="E345" s="458"/>
      <c r="F345" s="458"/>
      <c r="G345" s="458"/>
      <c r="H345" s="458"/>
      <c r="I345" s="458"/>
      <c r="J345" s="458"/>
      <c r="K345" s="458"/>
      <c r="L345" s="458"/>
      <c r="M345" s="458"/>
      <c r="N345" s="458"/>
      <c r="O345" s="458"/>
      <c r="P345" s="458"/>
      <c r="Q345" s="458"/>
      <c r="R345" s="458"/>
      <c r="S345" s="458"/>
      <c r="T345" s="458"/>
      <c r="U345" s="458"/>
      <c r="V345" s="458"/>
      <c r="W345" s="458"/>
      <c r="X345" s="458"/>
      <c r="Y345" s="458"/>
    </row>
    <row r="346" spans="4:25" ht="62.25" customHeight="1">
      <c r="D346" s="458"/>
      <c r="E346" s="458"/>
      <c r="F346" s="458"/>
      <c r="G346" s="458"/>
      <c r="H346" s="458"/>
      <c r="I346" s="458"/>
      <c r="J346" s="458"/>
      <c r="K346" s="458"/>
      <c r="L346" s="458"/>
      <c r="M346" s="458"/>
      <c r="N346" s="458"/>
      <c r="O346" s="458"/>
      <c r="P346" s="458"/>
      <c r="Q346" s="458"/>
      <c r="R346" s="458"/>
      <c r="S346" s="458"/>
      <c r="T346" s="458"/>
      <c r="U346" s="458"/>
      <c r="V346" s="458"/>
      <c r="W346" s="458"/>
      <c r="X346" s="458"/>
      <c r="Y346" s="458"/>
    </row>
    <row r="347" spans="4:25" ht="62.25" customHeight="1">
      <c r="D347" s="458"/>
      <c r="E347" s="458"/>
      <c r="F347" s="458"/>
      <c r="G347" s="458"/>
      <c r="H347" s="458"/>
      <c r="I347" s="458"/>
      <c r="J347" s="458"/>
      <c r="K347" s="458"/>
      <c r="L347" s="458"/>
      <c r="M347" s="458"/>
      <c r="N347" s="458"/>
      <c r="O347" s="458"/>
      <c r="P347" s="458"/>
      <c r="Q347" s="458"/>
      <c r="R347" s="458"/>
      <c r="S347" s="458"/>
      <c r="T347" s="458"/>
      <c r="U347" s="458"/>
      <c r="V347" s="458"/>
      <c r="W347" s="458"/>
      <c r="X347" s="458"/>
      <c r="Y347" s="458"/>
    </row>
    <row r="349" spans="4:25">
      <c r="D349" s="5" t="s">
        <v>943</v>
      </c>
    </row>
    <row r="351" spans="4:25">
      <c r="D351" s="5" t="s">
        <v>944</v>
      </c>
    </row>
    <row r="353" spans="4:25" ht="155.25" customHeight="1">
      <c r="D353" s="476" t="s">
        <v>952</v>
      </c>
      <c r="E353" s="845" t="s">
        <v>951</v>
      </c>
      <c r="F353" s="845"/>
      <c r="G353" s="845"/>
      <c r="H353" s="845" t="s">
        <v>950</v>
      </c>
      <c r="I353" s="845"/>
      <c r="J353" s="845"/>
      <c r="K353" s="845" t="s">
        <v>949</v>
      </c>
      <c r="L353" s="845"/>
      <c r="M353" s="845"/>
      <c r="N353" s="845" t="s">
        <v>948</v>
      </c>
      <c r="O353" s="845"/>
      <c r="P353" s="845"/>
      <c r="Q353" s="845" t="s">
        <v>947</v>
      </c>
      <c r="R353" s="845"/>
      <c r="S353" s="845"/>
      <c r="T353" s="845" t="s">
        <v>946</v>
      </c>
      <c r="U353" s="845"/>
      <c r="V353" s="845"/>
      <c r="W353" s="845" t="s">
        <v>945</v>
      </c>
      <c r="X353" s="845"/>
      <c r="Y353" s="845"/>
    </row>
    <row r="354" spans="4:25" ht="19.5" customHeight="1">
      <c r="D354" s="9"/>
      <c r="E354" s="816" t="str">
        <f>+'10.Grain Production details'!A67</f>
        <v>Soybean</v>
      </c>
      <c r="F354" s="816"/>
      <c r="G354" s="816"/>
      <c r="H354" s="817">
        <f>+Sheet2!D15/2.5</f>
        <v>110.08</v>
      </c>
      <c r="I354" s="817"/>
      <c r="J354" s="817"/>
      <c r="K354" s="817">
        <f>((Sheet2!E15*100)/1000)*2.5</f>
        <v>3.75</v>
      </c>
      <c r="L354" s="817"/>
      <c r="M354" s="817"/>
      <c r="N354" s="817">
        <f>+H354*K354</f>
        <v>412.8</v>
      </c>
      <c r="O354" s="817"/>
      <c r="P354" s="817"/>
      <c r="Q354" s="817">
        <f>+N354*Sheet2!G15</f>
        <v>41.28</v>
      </c>
      <c r="R354" s="817"/>
      <c r="S354" s="817"/>
      <c r="T354" s="817"/>
      <c r="U354" s="817"/>
      <c r="V354" s="817"/>
      <c r="W354" s="817">
        <f>+N354-Q354-T354</f>
        <v>371.52</v>
      </c>
      <c r="X354" s="817"/>
      <c r="Y354" s="817"/>
    </row>
    <row r="355" spans="4:25" ht="19.5" customHeight="1">
      <c r="D355" s="9"/>
      <c r="E355" s="816" t="str">
        <f>+'10.Grain Production details'!A68</f>
        <v>Red Gram/Tur</v>
      </c>
      <c r="F355" s="816"/>
      <c r="G355" s="816"/>
      <c r="H355" s="817">
        <f>+Sheet2!D16/2.5</f>
        <v>82.56</v>
      </c>
      <c r="I355" s="817"/>
      <c r="J355" s="817"/>
      <c r="K355" s="817">
        <f>((Sheet2!E16*100)/1000)*2.5</f>
        <v>1.75</v>
      </c>
      <c r="L355" s="817"/>
      <c r="M355" s="817"/>
      <c r="N355" s="817">
        <f t="shared" ref="N355:N366" si="0">+H355*K355</f>
        <v>144.48000000000002</v>
      </c>
      <c r="O355" s="817"/>
      <c r="P355" s="817"/>
      <c r="Q355" s="817">
        <f>+N355*Sheet2!G16</f>
        <v>7.2240000000000011</v>
      </c>
      <c r="R355" s="817"/>
      <c r="S355" s="817"/>
      <c r="T355" s="817"/>
      <c r="U355" s="817"/>
      <c r="V355" s="817"/>
      <c r="W355" s="817">
        <f t="shared" ref="W355:W366" si="1">+N355-Q355-T355</f>
        <v>137.25600000000003</v>
      </c>
      <c r="X355" s="817"/>
      <c r="Y355" s="817"/>
    </row>
    <row r="356" spans="4:25" ht="19.5" hidden="1" customHeight="1">
      <c r="D356" s="9"/>
      <c r="E356" s="816"/>
      <c r="F356" s="816"/>
      <c r="G356" s="816"/>
      <c r="H356" s="817"/>
      <c r="I356" s="817"/>
      <c r="J356" s="817"/>
      <c r="K356" s="817"/>
      <c r="L356" s="817"/>
      <c r="M356" s="817"/>
      <c r="N356" s="817"/>
      <c r="O356" s="817"/>
      <c r="P356" s="817"/>
      <c r="Q356" s="817"/>
      <c r="R356" s="817"/>
      <c r="S356" s="817"/>
      <c r="T356" s="817"/>
      <c r="U356" s="817"/>
      <c r="V356" s="817"/>
      <c r="W356" s="817"/>
      <c r="X356" s="817"/>
      <c r="Y356" s="817"/>
    </row>
    <row r="357" spans="4:25" ht="19.5" customHeight="1">
      <c r="D357" s="9"/>
      <c r="E357" s="816" t="str">
        <f>+'10.Grain Production details'!A70</f>
        <v>Green Gram/ Moong</v>
      </c>
      <c r="F357" s="816"/>
      <c r="G357" s="816"/>
      <c r="H357" s="817">
        <f>+Sheet2!D18/2.5</f>
        <v>55.04</v>
      </c>
      <c r="I357" s="817"/>
      <c r="J357" s="817"/>
      <c r="K357" s="817">
        <f>((Sheet2!E18*100)/1000)*2.5</f>
        <v>1.75</v>
      </c>
      <c r="L357" s="817"/>
      <c r="M357" s="817"/>
      <c r="N357" s="817">
        <f t="shared" si="0"/>
        <v>96.32</v>
      </c>
      <c r="O357" s="817"/>
      <c r="P357" s="817"/>
      <c r="Q357" s="817">
        <f>+N357*Sheet2!G18</f>
        <v>1.9263999999999999</v>
      </c>
      <c r="R357" s="817"/>
      <c r="S357" s="817"/>
      <c r="T357" s="817"/>
      <c r="U357" s="817"/>
      <c r="V357" s="817"/>
      <c r="W357" s="817">
        <f t="shared" si="1"/>
        <v>94.393599999999992</v>
      </c>
      <c r="X357" s="817"/>
      <c r="Y357" s="817"/>
    </row>
    <row r="358" spans="4:25" ht="19.5" customHeight="1">
      <c r="D358" s="9"/>
      <c r="E358" s="816" t="str">
        <f>+'10.Grain Production details'!A71</f>
        <v>Maize</v>
      </c>
      <c r="F358" s="816"/>
      <c r="G358" s="816"/>
      <c r="H358" s="817">
        <f>+Sheet2!D19/2.5</f>
        <v>110.08</v>
      </c>
      <c r="I358" s="817"/>
      <c r="J358" s="817"/>
      <c r="K358" s="817">
        <f>((Sheet2!E19*100)/1000)*2.5</f>
        <v>5</v>
      </c>
      <c r="L358" s="817"/>
      <c r="M358" s="817"/>
      <c r="N358" s="817">
        <f t="shared" si="0"/>
        <v>550.4</v>
      </c>
      <c r="O358" s="817"/>
      <c r="P358" s="817"/>
      <c r="Q358" s="817">
        <f>+N358*Sheet2!G19</f>
        <v>0</v>
      </c>
      <c r="R358" s="817"/>
      <c r="S358" s="817"/>
      <c r="T358" s="817">
        <v>22</v>
      </c>
      <c r="U358" s="817"/>
      <c r="V358" s="817"/>
      <c r="W358" s="817">
        <f t="shared" si="1"/>
        <v>528.4</v>
      </c>
      <c r="X358" s="817"/>
      <c r="Y358" s="817"/>
    </row>
    <row r="359" spans="4:25" ht="19.5" customHeight="1">
      <c r="D359" s="9"/>
      <c r="E359" s="816" t="str">
        <f>+'10.Grain Production details'!A72</f>
        <v>Black Gram/Udid</v>
      </c>
      <c r="F359" s="816"/>
      <c r="G359" s="816"/>
      <c r="H359" s="817">
        <f>+Sheet2!D20/2.5</f>
        <v>0</v>
      </c>
      <c r="I359" s="817"/>
      <c r="J359" s="817"/>
      <c r="K359" s="817">
        <f>((Sheet2!E20*100)/1000)*2.5</f>
        <v>1.75</v>
      </c>
      <c r="L359" s="817"/>
      <c r="M359" s="817"/>
      <c r="N359" s="817">
        <f t="shared" si="0"/>
        <v>0</v>
      </c>
      <c r="O359" s="817"/>
      <c r="P359" s="817"/>
      <c r="Q359" s="817">
        <f>+N359*Sheet2!G20</f>
        <v>0</v>
      </c>
      <c r="R359" s="817"/>
      <c r="S359" s="817"/>
      <c r="T359" s="817"/>
      <c r="U359" s="817"/>
      <c r="V359" s="817"/>
      <c r="W359" s="817">
        <f t="shared" si="1"/>
        <v>0</v>
      </c>
      <c r="X359" s="817"/>
      <c r="Y359" s="817"/>
    </row>
    <row r="360" spans="4:25" ht="19.5" customHeight="1">
      <c r="D360" s="9"/>
      <c r="E360" s="816" t="str">
        <f>+'10.Grain Production details'!A73</f>
        <v>Bajra</v>
      </c>
      <c r="F360" s="816"/>
      <c r="G360" s="816"/>
      <c r="H360" s="817">
        <f>+Sheet2!D21/2.5</f>
        <v>55.04</v>
      </c>
      <c r="I360" s="817"/>
      <c r="J360" s="817"/>
      <c r="K360" s="817">
        <f>((Sheet2!E21*100)/1000)*2.5</f>
        <v>1.5</v>
      </c>
      <c r="L360" s="817"/>
      <c r="M360" s="817"/>
      <c r="N360" s="817">
        <f t="shared" si="0"/>
        <v>82.56</v>
      </c>
      <c r="O360" s="817"/>
      <c r="P360" s="817"/>
      <c r="Q360" s="817">
        <f>+N360*Sheet2!G21</f>
        <v>1.6512</v>
      </c>
      <c r="R360" s="817"/>
      <c r="S360" s="817"/>
      <c r="T360" s="817"/>
      <c r="U360" s="817"/>
      <c r="V360" s="817"/>
      <c r="W360" s="817">
        <f t="shared" si="1"/>
        <v>80.908799999999999</v>
      </c>
      <c r="X360" s="817"/>
      <c r="Y360" s="817"/>
    </row>
    <row r="361" spans="4:25" ht="19.5" hidden="1" customHeight="1">
      <c r="D361" s="9"/>
      <c r="E361" s="816"/>
      <c r="F361" s="816"/>
      <c r="G361" s="816"/>
      <c r="H361" s="817"/>
      <c r="I361" s="817"/>
      <c r="J361" s="817"/>
      <c r="K361" s="817"/>
      <c r="L361" s="817"/>
      <c r="M361" s="817"/>
      <c r="N361" s="817"/>
      <c r="O361" s="817"/>
      <c r="P361" s="817"/>
      <c r="Q361" s="817"/>
      <c r="R361" s="817"/>
      <c r="S361" s="817"/>
      <c r="T361" s="817"/>
      <c r="U361" s="817"/>
      <c r="V361" s="817"/>
      <c r="W361" s="817"/>
      <c r="X361" s="817"/>
      <c r="Y361" s="817"/>
    </row>
    <row r="362" spans="4:25" ht="19.5" hidden="1" customHeight="1">
      <c r="D362" s="9"/>
      <c r="E362" s="816"/>
      <c r="F362" s="816"/>
      <c r="G362" s="816"/>
      <c r="H362" s="817"/>
      <c r="I362" s="817"/>
      <c r="J362" s="817"/>
      <c r="K362" s="817"/>
      <c r="L362" s="817"/>
      <c r="M362" s="817"/>
      <c r="N362" s="817"/>
      <c r="O362" s="817"/>
      <c r="P362" s="817"/>
      <c r="Q362" s="817"/>
      <c r="R362" s="817"/>
      <c r="S362" s="817"/>
      <c r="T362" s="817"/>
      <c r="U362" s="817"/>
      <c r="V362" s="817"/>
      <c r="W362" s="817"/>
      <c r="X362" s="817"/>
      <c r="Y362" s="817"/>
    </row>
    <row r="363" spans="4:25" ht="19.5" customHeight="1">
      <c r="D363" s="9"/>
      <c r="E363" s="816" t="str">
        <f>+'10.Grain Production details'!A76</f>
        <v>Wheat</v>
      </c>
      <c r="F363" s="816"/>
      <c r="G363" s="816"/>
      <c r="H363" s="817">
        <f>+Sheet2!D25/2.5</f>
        <v>110.08</v>
      </c>
      <c r="I363" s="817"/>
      <c r="J363" s="817"/>
      <c r="K363" s="817">
        <f>((Sheet2!E25*100)/1000)*2.5</f>
        <v>2.5</v>
      </c>
      <c r="L363" s="817"/>
      <c r="M363" s="817"/>
      <c r="N363" s="817">
        <f t="shared" si="0"/>
        <v>275.2</v>
      </c>
      <c r="O363" s="817"/>
      <c r="P363" s="817"/>
      <c r="Q363" s="817">
        <f>+N363*Sheet2!G25</f>
        <v>27.52</v>
      </c>
      <c r="R363" s="817"/>
      <c r="S363" s="817"/>
      <c r="T363" s="817">
        <v>6</v>
      </c>
      <c r="U363" s="817"/>
      <c r="V363" s="817"/>
      <c r="W363" s="817">
        <f t="shared" si="1"/>
        <v>241.67999999999998</v>
      </c>
      <c r="X363" s="817"/>
      <c r="Y363" s="817"/>
    </row>
    <row r="364" spans="4:25" ht="19.5" customHeight="1">
      <c r="D364" s="9"/>
      <c r="E364" s="816" t="str">
        <f>+'10.Grain Production details'!A77</f>
        <v>Bengal Gram/Channa</v>
      </c>
      <c r="F364" s="816"/>
      <c r="G364" s="816"/>
      <c r="H364" s="817">
        <f>+Sheet2!D26/2.5</f>
        <v>357.76</v>
      </c>
      <c r="I364" s="817"/>
      <c r="J364" s="817"/>
      <c r="K364" s="817">
        <f>((Sheet2!E26*100)/1000)*2.5</f>
        <v>2.5</v>
      </c>
      <c r="L364" s="817"/>
      <c r="M364" s="817"/>
      <c r="N364" s="817">
        <f t="shared" si="0"/>
        <v>894.4</v>
      </c>
      <c r="O364" s="817"/>
      <c r="P364" s="817"/>
      <c r="Q364" s="817">
        <f>+N364*Sheet2!G26</f>
        <v>89.44</v>
      </c>
      <c r="R364" s="817"/>
      <c r="S364" s="817"/>
      <c r="T364" s="817">
        <v>14</v>
      </c>
      <c r="U364" s="817"/>
      <c r="V364" s="817"/>
      <c r="W364" s="817">
        <f t="shared" si="1"/>
        <v>790.96</v>
      </c>
      <c r="X364" s="817"/>
      <c r="Y364" s="817"/>
    </row>
    <row r="365" spans="4:25" ht="19.5" customHeight="1">
      <c r="D365" s="9"/>
      <c r="E365" s="816" t="str">
        <f>+'10.Grain Production details'!A78</f>
        <v>Jawar</v>
      </c>
      <c r="F365" s="816"/>
      <c r="G365" s="816"/>
      <c r="H365" s="817">
        <f>+Sheet2!D27/2.5</f>
        <v>27.52</v>
      </c>
      <c r="I365" s="817"/>
      <c r="J365" s="817"/>
      <c r="K365" s="817">
        <f>((Sheet2!E27*100)/1000)*2.5</f>
        <v>2.5</v>
      </c>
      <c r="L365" s="817"/>
      <c r="M365" s="817"/>
      <c r="N365" s="817">
        <f t="shared" si="0"/>
        <v>68.8</v>
      </c>
      <c r="O365" s="817"/>
      <c r="P365" s="817"/>
      <c r="Q365" s="817">
        <f>+N365*Sheet2!G27</f>
        <v>3.44</v>
      </c>
      <c r="R365" s="817"/>
      <c r="S365" s="817"/>
      <c r="T365" s="817"/>
      <c r="U365" s="817"/>
      <c r="V365" s="817"/>
      <c r="W365" s="817">
        <f t="shared" si="1"/>
        <v>65.36</v>
      </c>
      <c r="X365" s="817"/>
      <c r="Y365" s="817"/>
    </row>
    <row r="366" spans="4:25" ht="19.5" customHeight="1">
      <c r="D366" s="9"/>
      <c r="E366" s="816" t="str">
        <f>+'10.Grain Production details'!A79</f>
        <v>Maize</v>
      </c>
      <c r="F366" s="816"/>
      <c r="G366" s="816"/>
      <c r="H366" s="817">
        <f>+Sheet2!D28/2.5</f>
        <v>55.04</v>
      </c>
      <c r="I366" s="817"/>
      <c r="J366" s="817"/>
      <c r="K366" s="817">
        <f>((Sheet2!E28*100)/1000)*2.5</f>
        <v>5</v>
      </c>
      <c r="L366" s="817"/>
      <c r="M366" s="817"/>
      <c r="N366" s="817">
        <f t="shared" si="0"/>
        <v>275.2</v>
      </c>
      <c r="O366" s="817"/>
      <c r="P366" s="817"/>
      <c r="Q366" s="817">
        <f>+N366*Sheet2!G28</f>
        <v>0</v>
      </c>
      <c r="R366" s="817"/>
      <c r="S366" s="817"/>
      <c r="T366" s="817">
        <v>20</v>
      </c>
      <c r="U366" s="817"/>
      <c r="V366" s="817"/>
      <c r="W366" s="817">
        <f t="shared" si="1"/>
        <v>255.2</v>
      </c>
      <c r="X366" s="817"/>
      <c r="Y366" s="817"/>
    </row>
    <row r="367" spans="4:25" ht="19.5" customHeight="1">
      <c r="D367" s="9"/>
      <c r="E367" s="816"/>
      <c r="F367" s="816"/>
      <c r="G367" s="816"/>
      <c r="H367" s="817"/>
      <c r="I367" s="817"/>
      <c r="J367" s="817"/>
      <c r="K367" s="817"/>
      <c r="L367" s="817"/>
      <c r="M367" s="817"/>
      <c r="N367" s="817"/>
      <c r="O367" s="817"/>
      <c r="P367" s="817"/>
      <c r="Q367" s="817"/>
      <c r="R367" s="817"/>
      <c r="S367" s="817"/>
      <c r="T367" s="817"/>
      <c r="U367" s="817"/>
      <c r="V367" s="817"/>
      <c r="W367" s="817"/>
      <c r="X367" s="817"/>
      <c r="Y367" s="817"/>
    </row>
    <row r="369" spans="4:25">
      <c r="D369" t="s">
        <v>953</v>
      </c>
    </row>
    <row r="370" spans="4:25" ht="7.5" customHeight="1"/>
    <row r="371" spans="4:25">
      <c r="D371" s="5" t="s">
        <v>954</v>
      </c>
    </row>
    <row r="373" spans="4:25" ht="45.75" customHeight="1">
      <c r="D373" s="475" t="s">
        <v>881</v>
      </c>
      <c r="E373" s="867" t="s">
        <v>956</v>
      </c>
      <c r="F373" s="867"/>
      <c r="G373" s="867"/>
      <c r="H373" s="867"/>
      <c r="I373" s="867"/>
      <c r="J373" s="867"/>
      <c r="K373" s="867"/>
      <c r="L373" s="867"/>
      <c r="M373" s="867"/>
      <c r="N373" s="867"/>
      <c r="O373" s="867"/>
      <c r="P373" s="867"/>
      <c r="Q373" s="867"/>
      <c r="R373" s="867"/>
      <c r="S373" s="867"/>
      <c r="T373" s="853" t="s">
        <v>955</v>
      </c>
      <c r="U373" s="852"/>
      <c r="V373" s="852"/>
      <c r="W373" s="852"/>
      <c r="X373" s="852"/>
      <c r="Y373" s="852"/>
    </row>
    <row r="374" spans="4:25" ht="21" customHeight="1">
      <c r="D374" s="473">
        <v>1</v>
      </c>
      <c r="E374" s="788" t="s">
        <v>957</v>
      </c>
      <c r="F374" s="788"/>
      <c r="G374" s="788"/>
      <c r="H374" s="788"/>
      <c r="I374" s="788"/>
      <c r="J374" s="788"/>
      <c r="K374" s="788"/>
      <c r="L374" s="788"/>
      <c r="M374" s="788"/>
      <c r="N374" s="788"/>
      <c r="O374" s="788"/>
      <c r="P374" s="788"/>
      <c r="Q374" s="788"/>
      <c r="R374" s="788"/>
      <c r="S374" s="788"/>
      <c r="T374" s="997">
        <v>68</v>
      </c>
      <c r="U374" s="786"/>
      <c r="V374" s="786"/>
      <c r="W374" s="786"/>
      <c r="X374" s="786"/>
      <c r="Y374" s="786"/>
    </row>
    <row r="375" spans="4:25" ht="21" customHeight="1">
      <c r="D375" s="473">
        <v>2</v>
      </c>
      <c r="E375" s="788" t="s">
        <v>958</v>
      </c>
      <c r="F375" s="788"/>
      <c r="G375" s="788"/>
      <c r="H375" s="788"/>
      <c r="I375" s="788"/>
      <c r="J375" s="788"/>
      <c r="K375" s="788"/>
      <c r="L375" s="788"/>
      <c r="M375" s="788"/>
      <c r="N375" s="788"/>
      <c r="O375" s="788"/>
      <c r="P375" s="788"/>
      <c r="Q375" s="788"/>
      <c r="R375" s="788"/>
      <c r="S375" s="788"/>
      <c r="T375" s="997">
        <v>0</v>
      </c>
      <c r="U375" s="786"/>
      <c r="V375" s="786"/>
      <c r="W375" s="786"/>
      <c r="X375" s="786"/>
      <c r="Y375" s="786"/>
    </row>
    <row r="376" spans="4:25" ht="21" customHeight="1">
      <c r="D376" s="473">
        <v>3</v>
      </c>
      <c r="E376" s="788" t="s">
        <v>959</v>
      </c>
      <c r="F376" s="788"/>
      <c r="G376" s="788"/>
      <c r="H376" s="788"/>
      <c r="I376" s="788"/>
      <c r="J376" s="788"/>
      <c r="K376" s="788"/>
      <c r="L376" s="788"/>
      <c r="M376" s="788"/>
      <c r="N376" s="788"/>
      <c r="O376" s="788"/>
      <c r="P376" s="788"/>
      <c r="Q376" s="788"/>
      <c r="R376" s="788"/>
      <c r="S376" s="788"/>
      <c r="T376" s="997">
        <v>6</v>
      </c>
      <c r="U376" s="786"/>
      <c r="V376" s="786"/>
      <c r="W376" s="786"/>
      <c r="X376" s="786"/>
      <c r="Y376" s="786"/>
    </row>
    <row r="377" spans="4:25" ht="21" customHeight="1">
      <c r="D377" s="473">
        <v>4</v>
      </c>
      <c r="E377" s="788" t="s">
        <v>960</v>
      </c>
      <c r="F377" s="788"/>
      <c r="G377" s="788"/>
      <c r="H377" s="788"/>
      <c r="I377" s="788"/>
      <c r="J377" s="788"/>
      <c r="K377" s="788"/>
      <c r="L377" s="788"/>
      <c r="M377" s="788"/>
      <c r="N377" s="788"/>
      <c r="O377" s="788"/>
      <c r="P377" s="788"/>
      <c r="Q377" s="788"/>
      <c r="R377" s="788"/>
      <c r="S377" s="788"/>
      <c r="T377" s="997">
        <v>2</v>
      </c>
      <c r="U377" s="786"/>
      <c r="V377" s="786"/>
      <c r="W377" s="786"/>
      <c r="X377" s="786"/>
      <c r="Y377" s="786"/>
    </row>
    <row r="378" spans="4:25" ht="21" customHeight="1">
      <c r="D378" s="473">
        <v>5</v>
      </c>
      <c r="E378" s="788" t="s">
        <v>961</v>
      </c>
      <c r="F378" s="788"/>
      <c r="G378" s="788"/>
      <c r="H378" s="788"/>
      <c r="I378" s="788"/>
      <c r="J378" s="788"/>
      <c r="K378" s="788"/>
      <c r="L378" s="788"/>
      <c r="M378" s="788"/>
      <c r="N378" s="788"/>
      <c r="O378" s="788"/>
      <c r="P378" s="788"/>
      <c r="Q378" s="788"/>
      <c r="R378" s="788"/>
      <c r="S378" s="788"/>
      <c r="T378" s="997">
        <v>0</v>
      </c>
      <c r="U378" s="786"/>
      <c r="V378" s="786"/>
      <c r="W378" s="786"/>
      <c r="X378" s="786"/>
      <c r="Y378" s="786"/>
    </row>
    <row r="379" spans="4:25">
      <c r="E379" s="729"/>
      <c r="F379" s="729"/>
      <c r="G379" s="729"/>
      <c r="H379" s="729"/>
      <c r="I379" s="729"/>
      <c r="J379" s="729"/>
      <c r="K379" s="729"/>
      <c r="L379" s="729"/>
      <c r="M379" s="729"/>
      <c r="N379" s="729"/>
      <c r="O379" s="729"/>
      <c r="P379" s="729"/>
      <c r="Q379" s="729"/>
      <c r="R379" s="729"/>
      <c r="S379" s="729"/>
      <c r="T379" s="776"/>
      <c r="U379" s="729"/>
      <c r="V379" s="729"/>
      <c r="W379" s="729"/>
      <c r="X379" s="729"/>
      <c r="Y379" s="729"/>
    </row>
    <row r="380" spans="4:25">
      <c r="E380" s="729"/>
      <c r="F380" s="729"/>
      <c r="G380" s="729"/>
      <c r="H380" s="729"/>
      <c r="I380" s="729"/>
      <c r="J380" s="729"/>
      <c r="K380" s="729"/>
      <c r="L380" s="729"/>
      <c r="M380" s="729"/>
      <c r="N380" s="729"/>
      <c r="O380" s="729"/>
      <c r="P380" s="729"/>
      <c r="Q380" s="729"/>
      <c r="R380" s="729"/>
      <c r="S380" s="729"/>
      <c r="T380" s="776"/>
      <c r="U380" s="729"/>
      <c r="V380" s="729"/>
      <c r="W380" s="729"/>
      <c r="X380" s="729"/>
      <c r="Y380" s="729"/>
    </row>
    <row r="381" spans="4:25" ht="68.25" customHeight="1">
      <c r="D381" s="801" t="s">
        <v>963</v>
      </c>
      <c r="E381" s="801"/>
      <c r="F381" s="801"/>
      <c r="G381" s="801"/>
      <c r="H381" s="801"/>
      <c r="I381" s="801"/>
      <c r="J381" s="801"/>
      <c r="K381" s="801"/>
      <c r="L381" s="801"/>
      <c r="M381" s="801"/>
      <c r="N381" s="801"/>
      <c r="O381" s="801"/>
      <c r="P381" s="801"/>
      <c r="Q381" s="801"/>
      <c r="R381" s="801"/>
      <c r="S381" s="801"/>
      <c r="T381" s="801"/>
      <c r="U381" s="801"/>
      <c r="V381" s="801"/>
      <c r="W381" s="801"/>
      <c r="X381" s="801"/>
      <c r="Y381" s="801"/>
    </row>
    <row r="382" spans="4:25">
      <c r="D382" s="458"/>
      <c r="E382" s="458"/>
      <c r="F382" s="458"/>
      <c r="G382" s="458"/>
      <c r="H382" s="458"/>
      <c r="I382" s="458"/>
      <c r="J382" s="458"/>
      <c r="K382" s="458"/>
      <c r="L382" s="458"/>
      <c r="M382" s="458"/>
      <c r="N382" s="458"/>
      <c r="O382" s="458"/>
      <c r="P382" s="458"/>
      <c r="Q382" s="458"/>
      <c r="R382" s="458"/>
      <c r="S382" s="458"/>
      <c r="T382" s="458"/>
      <c r="U382" s="458"/>
      <c r="V382" s="458"/>
      <c r="W382" s="458"/>
      <c r="X382" s="458"/>
      <c r="Y382" s="458"/>
    </row>
    <row r="383" spans="4:25" ht="3.75" customHeight="1"/>
    <row r="384" spans="4:25" ht="18.75">
      <c r="D384" s="1012" t="s">
        <v>1859</v>
      </c>
      <c r="E384" s="1012"/>
      <c r="F384" s="1012"/>
      <c r="G384" s="1012"/>
      <c r="H384" s="1012"/>
      <c r="I384" s="1012"/>
      <c r="J384" s="1012"/>
      <c r="K384" s="1012"/>
      <c r="L384" s="1012"/>
      <c r="M384" s="1012"/>
      <c r="N384" s="1012"/>
      <c r="O384" s="1012"/>
      <c r="P384" s="1012"/>
      <c r="Q384" s="1012"/>
      <c r="R384" s="1012"/>
      <c r="S384" s="1012"/>
      <c r="T384" s="1012"/>
      <c r="U384" s="1012"/>
      <c r="V384" s="1012"/>
      <c r="W384" s="1012"/>
      <c r="X384" s="1012"/>
      <c r="Y384" s="458"/>
    </row>
    <row r="385" spans="4:30">
      <c r="M385" s="458"/>
      <c r="N385" s="458"/>
      <c r="O385" s="458"/>
      <c r="P385" s="458"/>
      <c r="Q385" s="458"/>
      <c r="R385" s="458"/>
      <c r="S385" s="458"/>
      <c r="T385" s="458"/>
      <c r="U385" s="458"/>
      <c r="V385" s="458"/>
      <c r="W385" s="458"/>
      <c r="X385" s="458"/>
      <c r="Y385" s="458"/>
    </row>
    <row r="386" spans="4:30" s="304" customFormat="1" ht="32.25" customHeight="1">
      <c r="D386" s="1013" t="s">
        <v>1860</v>
      </c>
      <c r="E386" s="1013"/>
      <c r="F386" s="1013"/>
      <c r="J386" s="1013" t="s">
        <v>1861</v>
      </c>
      <c r="K386" s="1013"/>
      <c r="L386" s="1013"/>
      <c r="M386" s="1013"/>
      <c r="N386" s="1013"/>
      <c r="O386" s="1013"/>
      <c r="P386" s="1013"/>
      <c r="Q386" s="638"/>
      <c r="R386" s="638"/>
      <c r="S386" s="638"/>
      <c r="T386" s="638"/>
      <c r="U386" s="638"/>
      <c r="V386" s="1013" t="s">
        <v>1862</v>
      </c>
      <c r="W386" s="1013"/>
      <c r="X386" s="1013"/>
      <c r="Y386" s="638"/>
    </row>
    <row r="387" spans="4:30" s="304" customFormat="1" ht="32.25" customHeight="1">
      <c r="N387" s="638"/>
      <c r="O387" s="638"/>
      <c r="P387" s="638"/>
      <c r="Q387" s="638"/>
      <c r="R387" s="638"/>
      <c r="S387" s="638"/>
      <c r="T387" s="638"/>
      <c r="U387" s="638"/>
      <c r="W387" s="638"/>
      <c r="X387" s="638"/>
      <c r="Y387" s="638"/>
      <c r="AC387" s="304">
        <v>25</v>
      </c>
      <c r="AD387" s="304">
        <f>1000/AC387</f>
        <v>40</v>
      </c>
    </row>
    <row r="388" spans="4:30" s="304" customFormat="1" ht="32.25" customHeight="1">
      <c r="D388" s="902" t="s">
        <v>1863</v>
      </c>
      <c r="E388" s="900"/>
      <c r="F388" s="901"/>
      <c r="L388" s="902" t="s">
        <v>1864</v>
      </c>
      <c r="M388" s="900"/>
      <c r="N388" s="901"/>
      <c r="O388" s="638"/>
      <c r="P388" s="638"/>
      <c r="Q388" s="899" t="s">
        <v>1865</v>
      </c>
      <c r="R388" s="998"/>
      <c r="S388" s="999"/>
      <c r="T388" s="638"/>
      <c r="U388" s="638"/>
      <c r="V388" s="1006" t="s">
        <v>1866</v>
      </c>
      <c r="W388" s="1007"/>
      <c r="X388" s="1008"/>
      <c r="Y388" s="638"/>
      <c r="AC388" s="304">
        <v>175000</v>
      </c>
      <c r="AD388" s="304">
        <f>+AD387*AC388</f>
        <v>7000000</v>
      </c>
    </row>
    <row r="389" spans="4:30" s="304" customFormat="1" ht="32.25" customHeight="1">
      <c r="N389" s="638"/>
      <c r="O389" s="638"/>
      <c r="P389" s="638"/>
      <c r="Q389" s="638"/>
      <c r="R389" s="638"/>
      <c r="S389" s="638"/>
      <c r="T389" s="638"/>
      <c r="U389" s="638"/>
      <c r="V389" s="1040"/>
      <c r="W389" s="1014"/>
      <c r="X389" s="1041"/>
      <c r="Y389" s="638"/>
    </row>
    <row r="390" spans="4:30" s="304" customFormat="1" ht="32.25" customHeight="1">
      <c r="D390" s="899" t="s">
        <v>1867</v>
      </c>
      <c r="E390" s="998"/>
      <c r="F390" s="999"/>
      <c r="L390" s="899" t="s">
        <v>1868</v>
      </c>
      <c r="M390" s="998"/>
      <c r="N390" s="999"/>
      <c r="O390" s="638"/>
      <c r="P390" s="638"/>
      <c r="Q390" s="899" t="s">
        <v>1869</v>
      </c>
      <c r="R390" s="998"/>
      <c r="S390" s="999"/>
      <c r="T390" s="638"/>
      <c r="U390" s="638"/>
      <c r="V390" s="1040"/>
      <c r="W390" s="1014"/>
      <c r="X390" s="1041"/>
      <c r="Y390" s="638"/>
    </row>
    <row r="391" spans="4:30" s="304" customFormat="1" ht="32.25" customHeight="1">
      <c r="N391" s="638"/>
      <c r="O391" s="638"/>
      <c r="P391" s="638"/>
      <c r="Q391" s="638"/>
      <c r="R391" s="638"/>
      <c r="S391" s="638"/>
      <c r="T391" s="638"/>
      <c r="U391" s="638"/>
      <c r="V391" s="1040"/>
      <c r="W391" s="1014"/>
      <c r="X391" s="1041"/>
      <c r="Y391" s="638"/>
    </row>
    <row r="392" spans="4:30" s="304" customFormat="1" ht="32.25" customHeight="1">
      <c r="D392" s="902" t="s">
        <v>1870</v>
      </c>
      <c r="E392" s="900"/>
      <c r="F392" s="901"/>
      <c r="L392" s="899" t="s">
        <v>1871</v>
      </c>
      <c r="M392" s="998"/>
      <c r="N392" s="999"/>
      <c r="O392" s="638"/>
      <c r="P392" s="638"/>
      <c r="Q392" s="902" t="s">
        <v>1872</v>
      </c>
      <c r="R392" s="900"/>
      <c r="S392" s="901"/>
      <c r="T392" s="638"/>
      <c r="U392" s="638"/>
      <c r="V392" s="1040"/>
      <c r="W392" s="1014"/>
      <c r="X392" s="1041"/>
      <c r="Y392" s="638"/>
    </row>
    <row r="393" spans="4:30" s="304" customFormat="1" ht="32.25" customHeight="1">
      <c r="N393" s="638"/>
      <c r="O393" s="638"/>
      <c r="P393" s="638"/>
      <c r="R393" s="638"/>
      <c r="S393" s="638"/>
      <c r="T393" s="638"/>
      <c r="U393" s="638"/>
      <c r="V393" s="1040"/>
      <c r="W393" s="1014"/>
      <c r="X393" s="1041"/>
      <c r="Y393" s="638"/>
    </row>
    <row r="394" spans="4:30" s="304" customFormat="1" ht="32.25" customHeight="1">
      <c r="D394" s="899" t="s">
        <v>1735</v>
      </c>
      <c r="E394" s="998"/>
      <c r="F394" s="999"/>
      <c r="J394" s="289"/>
      <c r="L394" s="899" t="s">
        <v>1873</v>
      </c>
      <c r="M394" s="998"/>
      <c r="N394" s="999"/>
      <c r="O394" s="638"/>
      <c r="P394" s="638"/>
      <c r="Q394" s="899" t="s">
        <v>1874</v>
      </c>
      <c r="R394" s="998"/>
      <c r="S394" s="999"/>
      <c r="T394" s="638"/>
      <c r="U394" s="638"/>
      <c r="V394" s="1040"/>
      <c r="W394" s="1014"/>
      <c r="X394" s="1041"/>
      <c r="Y394" s="638"/>
    </row>
    <row r="395" spans="4:30" s="304" customFormat="1" ht="32.25" customHeight="1">
      <c r="N395" s="638"/>
      <c r="O395" s="638"/>
      <c r="P395" s="638"/>
      <c r="R395" s="638"/>
      <c r="S395" s="638"/>
      <c r="T395" s="638"/>
      <c r="U395" s="638"/>
      <c r="V395" s="1040"/>
      <c r="W395" s="1014"/>
      <c r="X395" s="1041"/>
      <c r="Y395" s="638"/>
    </row>
    <row r="396" spans="4:30" s="304" customFormat="1" ht="32.25" customHeight="1">
      <c r="D396" s="902" t="s">
        <v>1870</v>
      </c>
      <c r="E396" s="900"/>
      <c r="F396" s="901"/>
      <c r="L396" s="899" t="s">
        <v>1871</v>
      </c>
      <c r="M396" s="998"/>
      <c r="N396" s="999"/>
      <c r="O396" s="638"/>
      <c r="P396" s="638"/>
      <c r="R396" s="638"/>
      <c r="S396" s="638"/>
      <c r="T396" s="638"/>
      <c r="U396" s="638"/>
      <c r="V396" s="1040"/>
      <c r="W396" s="1014"/>
      <c r="X396" s="1041"/>
      <c r="Y396" s="638"/>
    </row>
    <row r="397" spans="4:30" s="304" customFormat="1" ht="32.25" customHeight="1">
      <c r="N397" s="638"/>
      <c r="O397" s="638"/>
      <c r="P397" s="638"/>
      <c r="R397" s="638"/>
      <c r="S397" s="638"/>
      <c r="T397" s="638"/>
      <c r="U397" s="638"/>
      <c r="V397" s="1040"/>
      <c r="W397" s="1014"/>
      <c r="X397" s="1041"/>
      <c r="Y397" s="638"/>
    </row>
    <row r="398" spans="4:30" ht="75" customHeight="1">
      <c r="D398" s="902" t="s">
        <v>1875</v>
      </c>
      <c r="E398" s="900"/>
      <c r="F398" s="901"/>
      <c r="G398" s="514"/>
      <c r="H398" s="899" t="s">
        <v>1876</v>
      </c>
      <c r="I398" s="998"/>
      <c r="J398" s="999"/>
      <c r="L398" s="899" t="s">
        <v>1877</v>
      </c>
      <c r="M398" s="998"/>
      <c r="N398" s="999"/>
      <c r="O398" s="458"/>
      <c r="P398" s="458"/>
      <c r="Q398" s="902" t="s">
        <v>1878</v>
      </c>
      <c r="R398" s="900"/>
      <c r="S398" s="901"/>
      <c r="T398" s="458"/>
      <c r="U398" s="458"/>
      <c r="V398" s="1040"/>
      <c r="W398" s="1014"/>
      <c r="X398" s="1041"/>
      <c r="Y398" s="458"/>
    </row>
    <row r="399" spans="4:30">
      <c r="F399" s="289"/>
      <c r="G399" s="290"/>
      <c r="J399" s="290"/>
      <c r="L399" s="290"/>
      <c r="M399" s="290"/>
      <c r="N399" s="458"/>
      <c r="O399" s="458"/>
      <c r="P399" s="458"/>
      <c r="Q399" s="458"/>
      <c r="R399" s="458"/>
      <c r="S399" s="458"/>
      <c r="T399" s="458"/>
      <c r="U399" s="458"/>
      <c r="V399" s="1040"/>
      <c r="W399" s="1014"/>
      <c r="X399" s="1041"/>
      <c r="Y399" s="458"/>
    </row>
    <row r="400" spans="4:30" ht="30.75" customHeight="1">
      <c r="D400" s="812" t="s">
        <v>1879</v>
      </c>
      <c r="E400" s="813"/>
      <c r="F400" s="814"/>
      <c r="L400" s="892" t="s">
        <v>1880</v>
      </c>
      <c r="M400" s="893"/>
      <c r="N400" s="894"/>
      <c r="O400" s="458"/>
      <c r="P400" s="458"/>
      <c r="Q400" s="458"/>
      <c r="R400" s="458"/>
      <c r="S400" s="458"/>
      <c r="T400" s="458"/>
      <c r="U400" s="458"/>
      <c r="V400" s="1040"/>
      <c r="W400" s="1014"/>
      <c r="X400" s="1041"/>
      <c r="Y400" s="458"/>
    </row>
    <row r="401" spans="4:25" ht="30.75" customHeight="1">
      <c r="N401" s="458"/>
      <c r="O401" s="458"/>
      <c r="P401" s="458"/>
      <c r="Q401" s="458"/>
      <c r="R401" s="458"/>
      <c r="S401" s="458"/>
      <c r="T401" s="458"/>
      <c r="U401" s="458"/>
      <c r="V401" s="1040"/>
      <c r="W401" s="1014"/>
      <c r="X401" s="1041"/>
      <c r="Y401" s="458"/>
    </row>
    <row r="402" spans="4:25" ht="30.75" customHeight="1">
      <c r="D402" s="902" t="s">
        <v>1881</v>
      </c>
      <c r="E402" s="900"/>
      <c r="F402" s="901"/>
      <c r="L402" s="899" t="s">
        <v>1872</v>
      </c>
      <c r="M402" s="998"/>
      <c r="N402" s="999"/>
      <c r="O402" s="458"/>
      <c r="P402" s="458"/>
      <c r="Q402" s="458"/>
      <c r="R402" s="458"/>
      <c r="S402" s="458"/>
      <c r="T402" s="458"/>
      <c r="U402" s="458"/>
      <c r="V402" s="1040"/>
      <c r="W402" s="1014"/>
      <c r="X402" s="1041"/>
      <c r="Y402" s="458"/>
    </row>
    <row r="403" spans="4:25">
      <c r="M403" s="458"/>
      <c r="N403" s="458"/>
      <c r="O403" s="458"/>
      <c r="P403" s="458"/>
      <c r="Q403" s="458"/>
      <c r="R403" s="458"/>
      <c r="S403" s="458"/>
      <c r="T403" s="458"/>
      <c r="U403" s="458"/>
      <c r="V403" s="1040"/>
      <c r="W403" s="1014"/>
      <c r="X403" s="1041"/>
      <c r="Y403" s="458"/>
    </row>
    <row r="404" spans="4:25" ht="15" customHeight="1">
      <c r="D404" s="1000" t="s">
        <v>1882</v>
      </c>
      <c r="E404" s="1001"/>
      <c r="F404" s="1002"/>
      <c r="G404" s="458"/>
      <c r="H404" s="458"/>
      <c r="I404" s="458"/>
      <c r="J404" s="458"/>
      <c r="K404" s="1006" t="s">
        <v>1883</v>
      </c>
      <c r="L404" s="1007"/>
      <c r="M404" s="1007"/>
      <c r="N404" s="1007"/>
      <c r="O404" s="1008"/>
      <c r="P404" s="458"/>
      <c r="Q404" s="458"/>
      <c r="R404" s="458"/>
      <c r="S404" s="458"/>
      <c r="T404" s="458"/>
      <c r="U404" s="458"/>
      <c r="V404" s="1040"/>
      <c r="W404" s="1014"/>
      <c r="X404" s="1041"/>
      <c r="Y404" s="458"/>
    </row>
    <row r="405" spans="4:25">
      <c r="D405" s="1003"/>
      <c r="E405" s="1004"/>
      <c r="F405" s="1005"/>
      <c r="G405" s="458"/>
      <c r="H405" s="458"/>
      <c r="I405" s="458"/>
      <c r="J405" s="458"/>
      <c r="K405" s="1009"/>
      <c r="L405" s="1010"/>
      <c r="M405" s="1010"/>
      <c r="N405" s="1010"/>
      <c r="O405" s="1011"/>
      <c r="P405" s="458"/>
      <c r="Q405" s="458"/>
      <c r="R405" s="458"/>
      <c r="S405" s="458"/>
      <c r="T405" s="458"/>
      <c r="U405" s="458"/>
      <c r="V405" s="1009"/>
      <c r="W405" s="1010"/>
      <c r="X405" s="1011"/>
      <c r="Y405" s="458"/>
    </row>
    <row r="411" spans="4:25" ht="18.75">
      <c r="D411" s="1012" t="s">
        <v>1884</v>
      </c>
      <c r="E411" s="1012"/>
      <c r="F411" s="1012"/>
      <c r="G411" s="1012"/>
      <c r="H411" s="1012"/>
      <c r="I411" s="1012"/>
      <c r="J411" s="1012"/>
      <c r="K411" s="1012"/>
      <c r="L411" s="1012"/>
      <c r="M411" s="1012"/>
      <c r="N411" s="1012"/>
      <c r="O411" s="1012"/>
      <c r="P411" s="1012"/>
      <c r="Q411" s="1012"/>
      <c r="R411" s="1012"/>
      <c r="S411" s="1012"/>
      <c r="T411" s="1012"/>
      <c r="U411" s="1012"/>
      <c r="V411" s="1012"/>
      <c r="W411" s="1012"/>
      <c r="X411" s="1012"/>
      <c r="Y411" s="458"/>
    </row>
    <row r="412" spans="4:25">
      <c r="M412" s="458"/>
      <c r="N412" s="458"/>
      <c r="O412" s="458"/>
      <c r="P412" s="458"/>
      <c r="Q412" s="458"/>
      <c r="R412" s="458"/>
      <c r="S412" s="458"/>
      <c r="T412" s="458"/>
      <c r="U412" s="458"/>
      <c r="V412" s="458"/>
      <c r="W412" s="458"/>
      <c r="X412" s="458"/>
      <c r="Y412" s="458"/>
    </row>
    <row r="413" spans="4:25" s="304" customFormat="1" ht="32.25" customHeight="1">
      <c r="D413" s="1013" t="s">
        <v>1860</v>
      </c>
      <c r="E413" s="1013"/>
      <c r="F413" s="1013"/>
      <c r="J413" s="1013" t="s">
        <v>1861</v>
      </c>
      <c r="K413" s="1013"/>
      <c r="L413" s="1013"/>
      <c r="M413" s="1013"/>
      <c r="N413" s="1013"/>
      <c r="O413" s="1013"/>
      <c r="P413" s="1013"/>
      <c r="Q413" s="638"/>
      <c r="R413" s="638"/>
      <c r="S413" s="638"/>
      <c r="T413" s="638"/>
      <c r="U413" s="638"/>
      <c r="V413" s="1013" t="s">
        <v>1862</v>
      </c>
      <c r="W413" s="1013"/>
      <c r="X413" s="1013"/>
      <c r="Y413" s="638"/>
    </row>
    <row r="414" spans="4:25" s="304" customFormat="1" ht="32.25" customHeight="1">
      <c r="N414" s="638"/>
      <c r="O414" s="638"/>
      <c r="P414" s="638"/>
      <c r="Q414" s="638"/>
      <c r="R414" s="638"/>
      <c r="S414" s="638"/>
      <c r="T414" s="638"/>
      <c r="U414" s="638"/>
      <c r="W414" s="638"/>
      <c r="X414" s="638"/>
      <c r="Y414" s="638"/>
    </row>
    <row r="415" spans="4:25" s="304" customFormat="1" ht="32.25" customHeight="1">
      <c r="D415" s="902" t="s">
        <v>1863</v>
      </c>
      <c r="E415" s="900"/>
      <c r="F415" s="901"/>
      <c r="L415" s="902" t="s">
        <v>1864</v>
      </c>
      <c r="M415" s="900"/>
      <c r="N415" s="901"/>
      <c r="O415" s="638"/>
      <c r="P415" s="638"/>
      <c r="Q415" s="1014"/>
      <c r="R415" s="1014"/>
      <c r="S415" s="1014"/>
      <c r="T415" s="638"/>
      <c r="U415" s="638"/>
      <c r="V415" s="1006" t="s">
        <v>1866</v>
      </c>
      <c r="W415" s="1007"/>
      <c r="X415" s="1008"/>
      <c r="Y415" s="638"/>
    </row>
    <row r="416" spans="4:25" s="304" customFormat="1" ht="32.25" customHeight="1">
      <c r="N416" s="638"/>
      <c r="O416" s="638"/>
      <c r="P416" s="638"/>
      <c r="Q416" s="638"/>
      <c r="R416" s="638"/>
      <c r="S416" s="638"/>
      <c r="T416" s="638"/>
      <c r="U416" s="638"/>
      <c r="V416" s="1040"/>
      <c r="W416" s="1014"/>
      <c r="X416" s="1041"/>
      <c r="Y416" s="638"/>
    </row>
    <row r="417" spans="4:25" s="304" customFormat="1" ht="32.25" customHeight="1">
      <c r="D417" s="899" t="s">
        <v>1867</v>
      </c>
      <c r="E417" s="998"/>
      <c r="F417" s="999"/>
      <c r="L417" s="899" t="s">
        <v>1868</v>
      </c>
      <c r="M417" s="998"/>
      <c r="N417" s="999"/>
      <c r="O417" s="638"/>
      <c r="P417" s="638"/>
      <c r="Q417" s="1014"/>
      <c r="R417" s="1014"/>
      <c r="S417" s="1014"/>
      <c r="T417" s="638"/>
      <c r="U417" s="638"/>
      <c r="V417" s="1040"/>
      <c r="W417" s="1014"/>
      <c r="X417" s="1041"/>
      <c r="Y417" s="638"/>
    </row>
    <row r="418" spans="4:25" s="304" customFormat="1" ht="32.25" customHeight="1">
      <c r="N418" s="638"/>
      <c r="O418" s="638"/>
      <c r="P418" s="638"/>
      <c r="Q418" s="638"/>
      <c r="R418" s="638"/>
      <c r="S418" s="638"/>
      <c r="T418" s="638"/>
      <c r="U418" s="638"/>
      <c r="V418" s="1040"/>
      <c r="W418" s="1014"/>
      <c r="X418" s="1041"/>
      <c r="Y418" s="638"/>
    </row>
    <row r="419" spans="4:25" s="304" customFormat="1" ht="32.25" customHeight="1">
      <c r="D419" s="902" t="s">
        <v>1870</v>
      </c>
      <c r="E419" s="900"/>
      <c r="F419" s="901"/>
      <c r="L419" s="899" t="s">
        <v>1871</v>
      </c>
      <c r="M419" s="998"/>
      <c r="N419" s="999"/>
      <c r="O419" s="638"/>
      <c r="P419" s="638"/>
      <c r="Q419" s="902" t="s">
        <v>1872</v>
      </c>
      <c r="R419" s="900"/>
      <c r="S419" s="901"/>
      <c r="T419" s="638"/>
      <c r="U419" s="638"/>
      <c r="V419" s="1040"/>
      <c r="W419" s="1014"/>
      <c r="X419" s="1041"/>
      <c r="Y419" s="638"/>
    </row>
    <row r="420" spans="4:25" s="304" customFormat="1" ht="32.25" customHeight="1">
      <c r="N420" s="638"/>
      <c r="O420" s="638"/>
      <c r="P420" s="638"/>
      <c r="R420" s="638"/>
      <c r="S420" s="638"/>
      <c r="T420" s="638"/>
      <c r="U420" s="638"/>
      <c r="V420" s="1040"/>
      <c r="W420" s="1014"/>
      <c r="X420" s="1041"/>
      <c r="Y420" s="638"/>
    </row>
    <row r="421" spans="4:25" s="304" customFormat="1" ht="32.25" customHeight="1">
      <c r="D421" s="899" t="s">
        <v>1885</v>
      </c>
      <c r="E421" s="998"/>
      <c r="F421" s="999"/>
      <c r="J421" s="289"/>
      <c r="L421" s="899" t="s">
        <v>1873</v>
      </c>
      <c r="M421" s="998"/>
      <c r="N421" s="999"/>
      <c r="O421" s="638"/>
      <c r="P421" s="638"/>
      <c r="Q421" s="899" t="s">
        <v>1874</v>
      </c>
      <c r="R421" s="998"/>
      <c r="S421" s="999"/>
      <c r="T421" s="638"/>
      <c r="U421" s="638"/>
      <c r="V421" s="1040"/>
      <c r="W421" s="1014"/>
      <c r="X421" s="1041"/>
      <c r="Y421" s="638"/>
    </row>
    <row r="422" spans="4:25" s="304" customFormat="1" ht="32.25" customHeight="1">
      <c r="N422" s="638"/>
      <c r="O422" s="638"/>
      <c r="P422" s="638"/>
      <c r="R422" s="638"/>
      <c r="S422" s="638"/>
      <c r="T422" s="638"/>
      <c r="U422" s="638"/>
      <c r="V422" s="1040"/>
      <c r="W422" s="1014"/>
      <c r="X422" s="1041"/>
      <c r="Y422" s="638"/>
    </row>
    <row r="423" spans="4:25" s="304" customFormat="1" ht="32.25" customHeight="1">
      <c r="D423" s="902" t="s">
        <v>1870</v>
      </c>
      <c r="E423" s="900"/>
      <c r="F423" s="901"/>
      <c r="L423" s="899" t="s">
        <v>1871</v>
      </c>
      <c r="M423" s="998"/>
      <c r="N423" s="999"/>
      <c r="O423" s="638"/>
      <c r="P423" s="638"/>
      <c r="R423" s="638"/>
      <c r="S423" s="638"/>
      <c r="T423" s="638"/>
      <c r="U423" s="638"/>
      <c r="V423" s="1040"/>
      <c r="W423" s="1014"/>
      <c r="X423" s="1041"/>
      <c r="Y423" s="638"/>
    </row>
    <row r="424" spans="4:25" s="304" customFormat="1" ht="32.25" customHeight="1">
      <c r="N424" s="638"/>
      <c r="O424" s="638"/>
      <c r="P424" s="638"/>
      <c r="R424" s="638"/>
      <c r="S424" s="638"/>
      <c r="T424" s="638"/>
      <c r="U424" s="638"/>
      <c r="V424" s="1040"/>
      <c r="W424" s="1014"/>
      <c r="X424" s="1041"/>
      <c r="Y424" s="638"/>
    </row>
    <row r="425" spans="4:25" ht="75" customHeight="1">
      <c r="D425" s="902" t="s">
        <v>1875</v>
      </c>
      <c r="E425" s="900"/>
      <c r="F425" s="901"/>
      <c r="G425" s="514"/>
      <c r="H425" s="899" t="s">
        <v>1876</v>
      </c>
      <c r="I425" s="998"/>
      <c r="J425" s="999"/>
      <c r="L425" s="899" t="s">
        <v>1877</v>
      </c>
      <c r="M425" s="998"/>
      <c r="N425" s="999"/>
      <c r="O425" s="458"/>
      <c r="P425" s="458"/>
      <c r="Q425" s="902" t="s">
        <v>1878</v>
      </c>
      <c r="R425" s="900"/>
      <c r="S425" s="901"/>
      <c r="T425" s="458"/>
      <c r="U425" s="458"/>
      <c r="V425" s="1040"/>
      <c r="W425" s="1014"/>
      <c r="X425" s="1041"/>
      <c r="Y425" s="458"/>
    </row>
    <row r="426" spans="4:25">
      <c r="F426" s="289"/>
      <c r="G426" s="290"/>
      <c r="J426" s="290"/>
      <c r="L426" s="290"/>
      <c r="M426" s="290"/>
      <c r="N426" s="458"/>
      <c r="O426" s="458"/>
      <c r="P426" s="458"/>
      <c r="Q426" s="458"/>
      <c r="R426" s="458"/>
      <c r="S426" s="458"/>
      <c r="T426" s="458"/>
      <c r="U426" s="458"/>
      <c r="V426" s="1040"/>
      <c r="W426" s="1014"/>
      <c r="X426" s="1041"/>
      <c r="Y426" s="458"/>
    </row>
    <row r="427" spans="4:25" ht="30.75" customHeight="1">
      <c r="D427" s="812" t="s">
        <v>1879</v>
      </c>
      <c r="E427" s="813"/>
      <c r="F427" s="814"/>
      <c r="L427" s="892" t="s">
        <v>1880</v>
      </c>
      <c r="M427" s="893"/>
      <c r="N427" s="894"/>
      <c r="O427" s="458"/>
      <c r="P427" s="458"/>
      <c r="Q427" s="458"/>
      <c r="R427" s="458"/>
      <c r="S427" s="458"/>
      <c r="T427" s="458"/>
      <c r="U427" s="458"/>
      <c r="V427" s="1040"/>
      <c r="W427" s="1014"/>
      <c r="X427" s="1041"/>
      <c r="Y427" s="458"/>
    </row>
    <row r="428" spans="4:25" ht="30.75" customHeight="1">
      <c r="N428" s="458"/>
      <c r="O428" s="458"/>
      <c r="P428" s="458"/>
      <c r="Q428" s="458"/>
      <c r="R428" s="458"/>
      <c r="S428" s="458"/>
      <c r="T428" s="458"/>
      <c r="U428" s="458"/>
      <c r="V428" s="1040"/>
      <c r="W428" s="1014"/>
      <c r="X428" s="1041"/>
      <c r="Y428" s="458"/>
    </row>
    <row r="429" spans="4:25" ht="30.75" customHeight="1">
      <c r="D429" s="902" t="s">
        <v>1881</v>
      </c>
      <c r="E429" s="900"/>
      <c r="F429" s="901"/>
      <c r="L429" s="899" t="s">
        <v>1872</v>
      </c>
      <c r="M429" s="998"/>
      <c r="N429" s="999"/>
      <c r="O429" s="458"/>
      <c r="P429" s="458"/>
      <c r="Q429" s="458"/>
      <c r="R429" s="458"/>
      <c r="S429" s="458"/>
      <c r="T429" s="458"/>
      <c r="U429" s="458"/>
      <c r="V429" s="1040"/>
      <c r="W429" s="1014"/>
      <c r="X429" s="1041"/>
      <c r="Y429" s="458"/>
    </row>
    <row r="430" spans="4:25">
      <c r="M430" s="458"/>
      <c r="N430" s="458"/>
      <c r="O430" s="458"/>
      <c r="P430" s="458"/>
      <c r="Q430" s="458"/>
      <c r="R430" s="458"/>
      <c r="S430" s="458"/>
      <c r="T430" s="458"/>
      <c r="U430" s="458"/>
      <c r="V430" s="1040"/>
      <c r="W430" s="1014"/>
      <c r="X430" s="1041"/>
      <c r="Y430" s="458"/>
    </row>
    <row r="431" spans="4:25" ht="15" customHeight="1">
      <c r="D431" s="1000" t="s">
        <v>1882</v>
      </c>
      <c r="E431" s="1001"/>
      <c r="F431" s="1002"/>
      <c r="G431" s="458"/>
      <c r="H431" s="458"/>
      <c r="I431" s="458"/>
      <c r="J431" s="458"/>
      <c r="K431" s="1006" t="s">
        <v>1883</v>
      </c>
      <c r="L431" s="1007"/>
      <c r="M431" s="1007"/>
      <c r="N431" s="1007"/>
      <c r="O431" s="1008"/>
      <c r="P431" s="458"/>
      <c r="Q431" s="458"/>
      <c r="R431" s="458"/>
      <c r="S431" s="458"/>
      <c r="T431" s="458"/>
      <c r="U431" s="458"/>
      <c r="V431" s="1040"/>
      <c r="W431" s="1014"/>
      <c r="X431" s="1041"/>
      <c r="Y431" s="458"/>
    </row>
    <row r="432" spans="4:25">
      <c r="D432" s="1003"/>
      <c r="E432" s="1004"/>
      <c r="F432" s="1005"/>
      <c r="G432" s="458"/>
      <c r="H432" s="458"/>
      <c r="I432" s="458"/>
      <c r="J432" s="458"/>
      <c r="K432" s="1009"/>
      <c r="L432" s="1010"/>
      <c r="M432" s="1010"/>
      <c r="N432" s="1010"/>
      <c r="O432" s="1011"/>
      <c r="P432" s="458"/>
      <c r="Q432" s="458"/>
      <c r="R432" s="458"/>
      <c r="S432" s="458"/>
      <c r="T432" s="458"/>
      <c r="U432" s="458"/>
      <c r="V432" s="1009"/>
      <c r="W432" s="1010"/>
      <c r="X432" s="1011"/>
      <c r="Y432" s="458"/>
    </row>
    <row r="437" spans="4:25" ht="18.75">
      <c r="D437" s="1012" t="s">
        <v>1886</v>
      </c>
      <c r="E437" s="1012"/>
      <c r="F437" s="1012"/>
      <c r="G437" s="1012"/>
      <c r="H437" s="1012"/>
      <c r="I437" s="1012"/>
      <c r="J437" s="1012"/>
      <c r="K437" s="1012"/>
      <c r="L437" s="1012"/>
      <c r="M437" s="1012"/>
      <c r="N437" s="1012"/>
      <c r="O437" s="1012"/>
      <c r="P437" s="1012"/>
      <c r="Q437" s="1012"/>
      <c r="R437" s="1012"/>
      <c r="S437" s="1012"/>
      <c r="T437" s="1012"/>
      <c r="U437" s="1012"/>
      <c r="V437" s="1012"/>
      <c r="W437" s="1012"/>
      <c r="X437" s="1012"/>
      <c r="Y437" s="458"/>
    </row>
    <row r="438" spans="4:25">
      <c r="M438" s="458"/>
      <c r="N438" s="458"/>
      <c r="O438" s="458"/>
      <c r="P438" s="458"/>
      <c r="Q438" s="458"/>
      <c r="R438" s="458"/>
      <c r="S438" s="458"/>
      <c r="T438" s="458"/>
      <c r="U438" s="458"/>
      <c r="V438" s="458"/>
      <c r="W438" s="458"/>
      <c r="X438" s="458"/>
      <c r="Y438" s="458"/>
    </row>
    <row r="439" spans="4:25" s="304" customFormat="1" ht="32.25" customHeight="1">
      <c r="D439" s="1013" t="s">
        <v>1860</v>
      </c>
      <c r="E439" s="1013"/>
      <c r="F439" s="1013"/>
      <c r="J439" s="1013" t="s">
        <v>1861</v>
      </c>
      <c r="K439" s="1013"/>
      <c r="L439" s="1013"/>
      <c r="M439" s="1013"/>
      <c r="N439" s="1013"/>
      <c r="O439" s="1013"/>
      <c r="P439" s="1013"/>
      <c r="Q439" s="638"/>
      <c r="R439" s="638"/>
      <c r="S439" s="638"/>
      <c r="T439" s="638"/>
      <c r="U439" s="638"/>
      <c r="V439" s="1013" t="s">
        <v>1862</v>
      </c>
      <c r="W439" s="1013"/>
      <c r="X439" s="1013"/>
      <c r="Y439" s="638"/>
    </row>
    <row r="440" spans="4:25" s="304" customFormat="1" ht="32.25" customHeight="1">
      <c r="N440" s="638"/>
      <c r="O440" s="638"/>
      <c r="P440" s="638"/>
      <c r="Q440" s="638"/>
      <c r="R440" s="638"/>
      <c r="S440" s="638"/>
      <c r="T440" s="638"/>
      <c r="U440" s="638"/>
      <c r="W440" s="638"/>
      <c r="X440" s="638"/>
      <c r="Y440" s="638"/>
    </row>
    <row r="441" spans="4:25" s="304" customFormat="1" ht="32.25" customHeight="1">
      <c r="D441" s="902" t="s">
        <v>1863</v>
      </c>
      <c r="E441" s="900"/>
      <c r="F441" s="901"/>
      <c r="L441" s="902" t="s">
        <v>1864</v>
      </c>
      <c r="M441" s="900"/>
      <c r="N441" s="901"/>
      <c r="O441" s="638"/>
      <c r="P441" s="638"/>
      <c r="Q441" s="899" t="s">
        <v>1865</v>
      </c>
      <c r="R441" s="998"/>
      <c r="S441" s="999"/>
      <c r="T441" s="638"/>
      <c r="U441" s="638"/>
      <c r="V441" s="1006" t="s">
        <v>1866</v>
      </c>
      <c r="W441" s="1007"/>
      <c r="X441" s="1008"/>
      <c r="Y441" s="638"/>
    </row>
    <row r="442" spans="4:25" s="304" customFormat="1" ht="32.25" customHeight="1">
      <c r="N442" s="638"/>
      <c r="O442" s="638"/>
      <c r="P442" s="638"/>
      <c r="Q442" s="638"/>
      <c r="R442" s="638"/>
      <c r="S442" s="638"/>
      <c r="T442" s="638"/>
      <c r="U442" s="638"/>
      <c r="V442" s="1040"/>
      <c r="W442" s="1014"/>
      <c r="X442" s="1041"/>
      <c r="Y442" s="638"/>
    </row>
    <row r="443" spans="4:25" s="304" customFormat="1" ht="32.25" customHeight="1">
      <c r="D443" s="899" t="s">
        <v>1867</v>
      </c>
      <c r="E443" s="998"/>
      <c r="F443" s="999"/>
      <c r="L443" s="899" t="s">
        <v>1868</v>
      </c>
      <c r="M443" s="998"/>
      <c r="N443" s="999"/>
      <c r="O443" s="638"/>
      <c r="P443" s="638"/>
      <c r="Q443" s="899" t="s">
        <v>1869</v>
      </c>
      <c r="R443" s="998"/>
      <c r="S443" s="999"/>
      <c r="T443" s="638"/>
      <c r="U443" s="638"/>
      <c r="V443" s="1040"/>
      <c r="W443" s="1014"/>
      <c r="X443" s="1041"/>
      <c r="Y443" s="638"/>
    </row>
    <row r="444" spans="4:25" s="304" customFormat="1" ht="32.25" customHeight="1">
      <c r="N444" s="638"/>
      <c r="O444" s="638"/>
      <c r="P444" s="638"/>
      <c r="Q444" s="638"/>
      <c r="R444" s="638"/>
      <c r="S444" s="638"/>
      <c r="T444" s="638"/>
      <c r="U444" s="638"/>
      <c r="V444" s="1040"/>
      <c r="W444" s="1014"/>
      <c r="X444" s="1041"/>
      <c r="Y444" s="638"/>
    </row>
    <row r="445" spans="4:25" s="304" customFormat="1" ht="32.25" customHeight="1">
      <c r="D445" s="902" t="s">
        <v>1870</v>
      </c>
      <c r="E445" s="900"/>
      <c r="F445" s="901"/>
      <c r="L445" s="899" t="s">
        <v>1871</v>
      </c>
      <c r="M445" s="998"/>
      <c r="N445" s="999"/>
      <c r="O445" s="638"/>
      <c r="P445" s="638"/>
      <c r="Q445" s="902" t="s">
        <v>1872</v>
      </c>
      <c r="R445" s="900"/>
      <c r="S445" s="901"/>
      <c r="T445" s="638"/>
      <c r="U445" s="638"/>
      <c r="V445" s="1040"/>
      <c r="W445" s="1014"/>
      <c r="X445" s="1041"/>
      <c r="Y445" s="638"/>
    </row>
    <row r="446" spans="4:25" s="304" customFormat="1" ht="32.25" customHeight="1">
      <c r="N446" s="638"/>
      <c r="O446" s="638"/>
      <c r="P446" s="638"/>
      <c r="R446" s="638"/>
      <c r="S446" s="638"/>
      <c r="T446" s="638"/>
      <c r="U446" s="638"/>
      <c r="V446" s="1040"/>
      <c r="W446" s="1014"/>
      <c r="X446" s="1041"/>
      <c r="Y446" s="638"/>
    </row>
    <row r="447" spans="4:25" s="304" customFormat="1" ht="32.25" customHeight="1">
      <c r="D447" s="899" t="s">
        <v>1735</v>
      </c>
      <c r="E447" s="998"/>
      <c r="F447" s="999"/>
      <c r="J447" s="289"/>
      <c r="L447" s="899" t="s">
        <v>1873</v>
      </c>
      <c r="M447" s="998"/>
      <c r="N447" s="999"/>
      <c r="O447" s="638"/>
      <c r="P447" s="638"/>
      <c r="Q447" s="899" t="s">
        <v>1874</v>
      </c>
      <c r="R447" s="998"/>
      <c r="S447" s="999"/>
      <c r="T447" s="638"/>
      <c r="U447" s="638"/>
      <c r="V447" s="1040"/>
      <c r="W447" s="1014"/>
      <c r="X447" s="1041"/>
      <c r="Y447" s="638"/>
    </row>
    <row r="448" spans="4:25" s="304" customFormat="1" ht="32.25" customHeight="1">
      <c r="N448" s="638"/>
      <c r="O448" s="638"/>
      <c r="P448" s="638"/>
      <c r="R448" s="638"/>
      <c r="S448" s="638"/>
      <c r="T448" s="638"/>
      <c r="U448" s="638"/>
      <c r="V448" s="1040"/>
      <c r="W448" s="1014"/>
      <c r="X448" s="1041"/>
      <c r="Y448" s="638"/>
    </row>
    <row r="449" spans="4:25" s="304" customFormat="1" ht="32.25" customHeight="1">
      <c r="D449" s="902" t="s">
        <v>1870</v>
      </c>
      <c r="E449" s="900"/>
      <c r="F449" s="901"/>
      <c r="L449" s="899" t="s">
        <v>1871</v>
      </c>
      <c r="M449" s="998"/>
      <c r="N449" s="999"/>
      <c r="O449" s="638"/>
      <c r="P449" s="638"/>
      <c r="R449" s="638"/>
      <c r="S449" s="638"/>
      <c r="T449" s="638"/>
      <c r="U449" s="638"/>
      <c r="V449" s="1040"/>
      <c r="W449" s="1014"/>
      <c r="X449" s="1041"/>
      <c r="Y449" s="638"/>
    </row>
    <row r="450" spans="4:25" s="304" customFormat="1" ht="32.25" customHeight="1">
      <c r="N450" s="638"/>
      <c r="O450" s="638"/>
      <c r="P450" s="638"/>
      <c r="R450" s="638"/>
      <c r="S450" s="638"/>
      <c r="T450" s="638"/>
      <c r="U450" s="638"/>
      <c r="V450" s="1040"/>
      <c r="W450" s="1014"/>
      <c r="X450" s="1041"/>
      <c r="Y450" s="638"/>
    </row>
    <row r="451" spans="4:25" ht="75" customHeight="1">
      <c r="D451" s="902" t="s">
        <v>1875</v>
      </c>
      <c r="E451" s="900"/>
      <c r="F451" s="901"/>
      <c r="G451" s="514"/>
      <c r="H451" s="899" t="s">
        <v>1876</v>
      </c>
      <c r="I451" s="998"/>
      <c r="J451" s="999"/>
      <c r="L451" s="899" t="s">
        <v>1877</v>
      </c>
      <c r="M451" s="998"/>
      <c r="N451" s="999"/>
      <c r="O451" s="458"/>
      <c r="P451" s="458"/>
      <c r="Q451" s="902" t="s">
        <v>1878</v>
      </c>
      <c r="R451" s="900"/>
      <c r="S451" s="901"/>
      <c r="T451" s="458"/>
      <c r="U451" s="458"/>
      <c r="V451" s="1040"/>
      <c r="W451" s="1014"/>
      <c r="X451" s="1041"/>
      <c r="Y451" s="458"/>
    </row>
    <row r="452" spans="4:25">
      <c r="F452" s="289"/>
      <c r="G452" s="290"/>
      <c r="J452" s="290"/>
      <c r="L452" s="290"/>
      <c r="M452" s="290"/>
      <c r="N452" s="458"/>
      <c r="O452" s="458"/>
      <c r="P452" s="458"/>
      <c r="Q452" s="458"/>
      <c r="R452" s="458"/>
      <c r="S452" s="458"/>
      <c r="T452" s="458"/>
      <c r="U452" s="458"/>
      <c r="V452" s="1040"/>
      <c r="W452" s="1014"/>
      <c r="X452" s="1041"/>
      <c r="Y452" s="458"/>
    </row>
    <row r="453" spans="4:25" ht="30.75" customHeight="1">
      <c r="D453" s="812" t="s">
        <v>1879</v>
      </c>
      <c r="E453" s="813"/>
      <c r="F453" s="814"/>
      <c r="L453" s="892" t="s">
        <v>1880</v>
      </c>
      <c r="M453" s="893"/>
      <c r="N453" s="894"/>
      <c r="O453" s="458"/>
      <c r="P453" s="458"/>
      <c r="Q453" s="458"/>
      <c r="R453" s="458"/>
      <c r="S453" s="458"/>
      <c r="T453" s="458"/>
      <c r="U453" s="458"/>
      <c r="V453" s="1040"/>
      <c r="W453" s="1014"/>
      <c r="X453" s="1041"/>
      <c r="Y453" s="458"/>
    </row>
    <row r="454" spans="4:25" ht="30.75" customHeight="1">
      <c r="N454" s="458"/>
      <c r="O454" s="458"/>
      <c r="P454" s="458"/>
      <c r="Q454" s="458"/>
      <c r="R454" s="458"/>
      <c r="S454" s="458"/>
      <c r="T454" s="458"/>
      <c r="U454" s="458"/>
      <c r="V454" s="1040"/>
      <c r="W454" s="1014"/>
      <c r="X454" s="1041"/>
      <c r="Y454" s="458"/>
    </row>
    <row r="455" spans="4:25" ht="30.75" customHeight="1">
      <c r="D455" s="902" t="s">
        <v>1881</v>
      </c>
      <c r="E455" s="900"/>
      <c r="F455" s="901"/>
      <c r="L455" s="899" t="s">
        <v>1872</v>
      </c>
      <c r="M455" s="998"/>
      <c r="N455" s="999"/>
      <c r="O455" s="458"/>
      <c r="P455" s="458"/>
      <c r="Q455" s="458"/>
      <c r="R455" s="458"/>
      <c r="S455" s="458"/>
      <c r="T455" s="458"/>
      <c r="U455" s="458"/>
      <c r="V455" s="1040"/>
      <c r="W455" s="1014"/>
      <c r="X455" s="1041"/>
      <c r="Y455" s="458"/>
    </row>
    <row r="456" spans="4:25">
      <c r="M456" s="458"/>
      <c r="N456" s="458"/>
      <c r="O456" s="458"/>
      <c r="P456" s="458"/>
      <c r="Q456" s="458"/>
      <c r="R456" s="458"/>
      <c r="S456" s="458"/>
      <c r="T456" s="458"/>
      <c r="U456" s="458"/>
      <c r="V456" s="1040"/>
      <c r="W456" s="1014"/>
      <c r="X456" s="1041"/>
      <c r="Y456" s="458"/>
    </row>
    <row r="457" spans="4:25" ht="15" customHeight="1">
      <c r="D457" s="1000" t="s">
        <v>1882</v>
      </c>
      <c r="E457" s="1001"/>
      <c r="F457" s="1002"/>
      <c r="G457" s="458"/>
      <c r="H457" s="458"/>
      <c r="I457" s="458"/>
      <c r="J457" s="458"/>
      <c r="K457" s="1006" t="s">
        <v>1883</v>
      </c>
      <c r="L457" s="1007"/>
      <c r="M457" s="1007"/>
      <c r="N457" s="1007"/>
      <c r="O457" s="1008"/>
      <c r="P457" s="458"/>
      <c r="Q457" s="458"/>
      <c r="R457" s="458"/>
      <c r="S457" s="458"/>
      <c r="T457" s="458"/>
      <c r="U457" s="458"/>
      <c r="V457" s="1040"/>
      <c r="W457" s="1014"/>
      <c r="X457" s="1041"/>
      <c r="Y457" s="458"/>
    </row>
    <row r="458" spans="4:25">
      <c r="D458" s="1003"/>
      <c r="E458" s="1004"/>
      <c r="F458" s="1005"/>
      <c r="G458" s="458"/>
      <c r="H458" s="458"/>
      <c r="I458" s="458"/>
      <c r="J458" s="458"/>
      <c r="K458" s="1009"/>
      <c r="L458" s="1010"/>
      <c r="M458" s="1010"/>
      <c r="N458" s="1010"/>
      <c r="O458" s="1011"/>
      <c r="P458" s="458"/>
      <c r="Q458" s="458"/>
      <c r="R458" s="458"/>
      <c r="S458" s="458"/>
      <c r="T458" s="458"/>
      <c r="U458" s="458"/>
      <c r="V458" s="1009"/>
      <c r="W458" s="1010"/>
      <c r="X458" s="1011"/>
      <c r="Y458" s="458"/>
    </row>
    <row r="463" spans="4:25" ht="18.75">
      <c r="D463" s="1012" t="s">
        <v>1887</v>
      </c>
      <c r="E463" s="1012"/>
      <c r="F463" s="1012"/>
      <c r="G463" s="1012"/>
      <c r="H463" s="1012"/>
      <c r="I463" s="1012"/>
      <c r="J463" s="1012"/>
      <c r="K463" s="1012"/>
      <c r="L463" s="1012"/>
      <c r="M463" s="1012"/>
      <c r="N463" s="1012"/>
      <c r="O463" s="1012"/>
      <c r="P463" s="1012"/>
      <c r="Q463" s="1012"/>
      <c r="R463" s="1012"/>
      <c r="S463" s="1012"/>
      <c r="T463" s="1012"/>
      <c r="U463" s="1012"/>
      <c r="V463" s="1012"/>
      <c r="W463" s="1012"/>
      <c r="X463" s="1012"/>
      <c r="Y463" s="458"/>
    </row>
    <row r="464" spans="4:25">
      <c r="M464" s="458"/>
      <c r="N464" s="458"/>
      <c r="O464" s="458"/>
      <c r="P464" s="458"/>
      <c r="Q464" s="458"/>
      <c r="R464" s="458"/>
      <c r="S464" s="458"/>
      <c r="T464" s="458"/>
      <c r="U464" s="458"/>
      <c r="V464" s="458"/>
      <c r="W464" s="458"/>
      <c r="X464" s="458"/>
      <c r="Y464" s="458"/>
    </row>
    <row r="465" spans="4:25" s="304" customFormat="1" ht="32.25" customHeight="1">
      <c r="D465" s="1013" t="s">
        <v>1860</v>
      </c>
      <c r="E465" s="1013"/>
      <c r="F465" s="1013"/>
      <c r="J465" s="1013" t="s">
        <v>1861</v>
      </c>
      <c r="K465" s="1013"/>
      <c r="L465" s="1013"/>
      <c r="M465" s="1013"/>
      <c r="N465" s="1013"/>
      <c r="O465" s="1013"/>
      <c r="P465" s="1013"/>
      <c r="Q465" s="638"/>
      <c r="R465" s="638"/>
      <c r="S465" s="638"/>
      <c r="T465" s="638"/>
      <c r="U465" s="638"/>
      <c r="V465" s="1013" t="s">
        <v>1862</v>
      </c>
      <c r="W465" s="1013"/>
      <c r="X465" s="1013"/>
      <c r="Y465" s="638"/>
    </row>
    <row r="466" spans="4:25" s="304" customFormat="1" ht="32.25" customHeight="1">
      <c r="N466" s="638"/>
      <c r="O466" s="638"/>
      <c r="P466" s="638"/>
      <c r="Q466" s="638"/>
      <c r="R466" s="638"/>
      <c r="S466" s="638"/>
      <c r="T466" s="638"/>
      <c r="U466" s="638"/>
      <c r="W466" s="638"/>
      <c r="X466" s="638"/>
      <c r="Y466" s="638"/>
    </row>
    <row r="467" spans="4:25" s="304" customFormat="1" ht="32.25" customHeight="1">
      <c r="D467" s="902" t="s">
        <v>1863</v>
      </c>
      <c r="E467" s="900"/>
      <c r="F467" s="901"/>
      <c r="L467" s="902" t="s">
        <v>1864</v>
      </c>
      <c r="M467" s="900"/>
      <c r="N467" s="901"/>
      <c r="O467" s="638"/>
      <c r="P467" s="638"/>
      <c r="Q467" s="899" t="s">
        <v>1865</v>
      </c>
      <c r="R467" s="998"/>
      <c r="S467" s="999"/>
      <c r="T467" s="638"/>
      <c r="U467" s="638"/>
      <c r="V467" s="1006" t="s">
        <v>1866</v>
      </c>
      <c r="W467" s="1007"/>
      <c r="X467" s="1008"/>
      <c r="Y467" s="638"/>
    </row>
    <row r="468" spans="4:25" s="304" customFormat="1" ht="32.25" customHeight="1">
      <c r="N468" s="638"/>
      <c r="O468" s="638"/>
      <c r="P468" s="638"/>
      <c r="Q468" s="638"/>
      <c r="R468" s="638"/>
      <c r="S468" s="638"/>
      <c r="T468" s="638"/>
      <c r="U468" s="638"/>
      <c r="V468" s="1040"/>
      <c r="W468" s="1014"/>
      <c r="X468" s="1041"/>
      <c r="Y468" s="638"/>
    </row>
    <row r="469" spans="4:25" s="304" customFormat="1" ht="32.25" customHeight="1">
      <c r="D469" s="899" t="s">
        <v>1867</v>
      </c>
      <c r="E469" s="998"/>
      <c r="F469" s="999"/>
      <c r="L469" s="899" t="s">
        <v>1868</v>
      </c>
      <c r="M469" s="998"/>
      <c r="N469" s="999"/>
      <c r="O469" s="638"/>
      <c r="P469" s="638"/>
      <c r="Q469" s="899" t="s">
        <v>1869</v>
      </c>
      <c r="R469" s="998"/>
      <c r="S469" s="999"/>
      <c r="T469" s="638"/>
      <c r="U469" s="638"/>
      <c r="V469" s="1040"/>
      <c r="W469" s="1014"/>
      <c r="X469" s="1041"/>
      <c r="Y469" s="638"/>
    </row>
    <row r="470" spans="4:25" s="304" customFormat="1" ht="32.25" customHeight="1">
      <c r="N470" s="638"/>
      <c r="O470" s="638"/>
      <c r="P470" s="638"/>
      <c r="Q470" s="638"/>
      <c r="R470" s="638"/>
      <c r="S470" s="638"/>
      <c r="T470" s="638"/>
      <c r="U470" s="638"/>
      <c r="V470" s="1040"/>
      <c r="W470" s="1014"/>
      <c r="X470" s="1041"/>
      <c r="Y470" s="638"/>
    </row>
    <row r="471" spans="4:25" s="304" customFormat="1" ht="32.25" customHeight="1">
      <c r="D471" s="902" t="s">
        <v>1870</v>
      </c>
      <c r="E471" s="900"/>
      <c r="F471" s="901"/>
      <c r="L471" s="899" t="s">
        <v>1871</v>
      </c>
      <c r="M471" s="998"/>
      <c r="N471" s="999"/>
      <c r="O471" s="638"/>
      <c r="P471" s="638"/>
      <c r="Q471" s="902" t="s">
        <v>1872</v>
      </c>
      <c r="R471" s="900"/>
      <c r="S471" s="901"/>
      <c r="T471" s="638"/>
      <c r="U471" s="638"/>
      <c r="V471" s="1040"/>
      <c r="W471" s="1014"/>
      <c r="X471" s="1041"/>
      <c r="Y471" s="638"/>
    </row>
    <row r="472" spans="4:25" s="304" customFormat="1" ht="32.25" customHeight="1">
      <c r="N472" s="638"/>
      <c r="O472" s="638"/>
      <c r="P472" s="638"/>
      <c r="R472" s="638"/>
      <c r="S472" s="638"/>
      <c r="T472" s="638"/>
      <c r="U472" s="638"/>
      <c r="V472" s="1040"/>
      <c r="W472" s="1014"/>
      <c r="X472" s="1041"/>
      <c r="Y472" s="638"/>
    </row>
    <row r="473" spans="4:25" s="304" customFormat="1" ht="32.25" customHeight="1">
      <c r="D473" s="899" t="s">
        <v>1737</v>
      </c>
      <c r="E473" s="998"/>
      <c r="F473" s="999"/>
      <c r="J473" s="289"/>
      <c r="L473" s="899" t="s">
        <v>1873</v>
      </c>
      <c r="M473" s="998"/>
      <c r="N473" s="999"/>
      <c r="O473" s="638"/>
      <c r="P473" s="638"/>
      <c r="Q473" s="899" t="s">
        <v>1874</v>
      </c>
      <c r="R473" s="998"/>
      <c r="S473" s="999"/>
      <c r="T473" s="638"/>
      <c r="U473" s="638"/>
      <c r="V473" s="1040"/>
      <c r="W473" s="1014"/>
      <c r="X473" s="1041"/>
      <c r="Y473" s="638"/>
    </row>
    <row r="474" spans="4:25" s="304" customFormat="1" ht="32.25" customHeight="1">
      <c r="N474" s="638"/>
      <c r="O474" s="638"/>
      <c r="P474" s="638"/>
      <c r="R474" s="638"/>
      <c r="S474" s="638"/>
      <c r="T474" s="638"/>
      <c r="U474" s="638"/>
      <c r="V474" s="1040"/>
      <c r="W474" s="1014"/>
      <c r="X474" s="1041"/>
      <c r="Y474" s="638"/>
    </row>
    <row r="475" spans="4:25" s="304" customFormat="1" ht="32.25" customHeight="1">
      <c r="D475" s="902" t="s">
        <v>1870</v>
      </c>
      <c r="E475" s="900"/>
      <c r="F475" s="901"/>
      <c r="L475" s="899" t="s">
        <v>1871</v>
      </c>
      <c r="M475" s="998"/>
      <c r="N475" s="999"/>
      <c r="O475" s="638"/>
      <c r="P475" s="638"/>
      <c r="R475" s="638"/>
      <c r="S475" s="638"/>
      <c r="T475" s="638"/>
      <c r="U475" s="638"/>
      <c r="V475" s="1040"/>
      <c r="W475" s="1014"/>
      <c r="X475" s="1041"/>
      <c r="Y475" s="638"/>
    </row>
    <row r="476" spans="4:25" s="304" customFormat="1" ht="32.25" customHeight="1">
      <c r="N476" s="638"/>
      <c r="O476" s="638"/>
      <c r="P476" s="638"/>
      <c r="R476" s="638"/>
      <c r="S476" s="638"/>
      <c r="T476" s="638"/>
      <c r="U476" s="638"/>
      <c r="V476" s="1040"/>
      <c r="W476" s="1014"/>
      <c r="X476" s="1041"/>
      <c r="Y476" s="638"/>
    </row>
    <row r="477" spans="4:25" ht="58.5" customHeight="1">
      <c r="D477" s="902" t="s">
        <v>1875</v>
      </c>
      <c r="E477" s="900"/>
      <c r="F477" s="901"/>
      <c r="G477" s="514"/>
      <c r="H477" s="899" t="s">
        <v>1876</v>
      </c>
      <c r="I477" s="998"/>
      <c r="J477" s="999"/>
      <c r="L477" s="899" t="s">
        <v>1877</v>
      </c>
      <c r="M477" s="998"/>
      <c r="N477" s="999"/>
      <c r="O477" s="458"/>
      <c r="P477" s="458"/>
      <c r="Q477" s="902" t="s">
        <v>1878</v>
      </c>
      <c r="R477" s="900"/>
      <c r="S477" s="901"/>
      <c r="T477" s="458"/>
      <c r="U477" s="458"/>
      <c r="V477" s="1040"/>
      <c r="W477" s="1014"/>
      <c r="X477" s="1041"/>
      <c r="Y477" s="458"/>
    </row>
    <row r="478" spans="4:25">
      <c r="F478" s="289"/>
      <c r="G478" s="290"/>
      <c r="J478" s="290"/>
      <c r="L478" s="290"/>
      <c r="M478" s="290"/>
      <c r="N478" s="458"/>
      <c r="O478" s="458"/>
      <c r="P478" s="458"/>
      <c r="Q478" s="458"/>
      <c r="R478" s="458"/>
      <c r="S478" s="458"/>
      <c r="T478" s="458"/>
      <c r="U478" s="458"/>
      <c r="V478" s="1040"/>
      <c r="W478" s="1014"/>
      <c r="X478" s="1041"/>
      <c r="Y478" s="458"/>
    </row>
    <row r="479" spans="4:25" ht="30.75" customHeight="1">
      <c r="D479" s="812" t="s">
        <v>1879</v>
      </c>
      <c r="E479" s="813"/>
      <c r="F479" s="814"/>
      <c r="L479" s="892" t="s">
        <v>1880</v>
      </c>
      <c r="M479" s="893"/>
      <c r="N479" s="894"/>
      <c r="O479" s="458"/>
      <c r="P479" s="458"/>
      <c r="Q479" s="458"/>
      <c r="R479" s="458"/>
      <c r="S479" s="458"/>
      <c r="T479" s="458"/>
      <c r="U479" s="458"/>
      <c r="V479" s="1040"/>
      <c r="W479" s="1014"/>
      <c r="X479" s="1041"/>
      <c r="Y479" s="458"/>
    </row>
    <row r="480" spans="4:25" ht="30.75" customHeight="1">
      <c r="N480" s="458"/>
      <c r="O480" s="458"/>
      <c r="P480" s="458"/>
      <c r="Q480" s="458"/>
      <c r="R480" s="458"/>
      <c r="S480" s="458"/>
      <c r="T480" s="458"/>
      <c r="U480" s="458"/>
      <c r="V480" s="1040"/>
      <c r="W480" s="1014"/>
      <c r="X480" s="1041"/>
      <c r="Y480" s="458"/>
    </row>
    <row r="481" spans="4:25" ht="30.75" customHeight="1">
      <c r="D481" s="902" t="s">
        <v>1881</v>
      </c>
      <c r="E481" s="900"/>
      <c r="F481" s="901"/>
      <c r="L481" s="899" t="s">
        <v>1872</v>
      </c>
      <c r="M481" s="998"/>
      <c r="N481" s="999"/>
      <c r="O481" s="458"/>
      <c r="P481" s="458"/>
      <c r="Q481" s="458"/>
      <c r="R481" s="458"/>
      <c r="S481" s="458"/>
      <c r="T481" s="458"/>
      <c r="U481" s="458"/>
      <c r="V481" s="1040"/>
      <c r="W481" s="1014"/>
      <c r="X481" s="1041"/>
      <c r="Y481" s="458"/>
    </row>
    <row r="482" spans="4:25">
      <c r="M482" s="458"/>
      <c r="N482" s="458"/>
      <c r="O482" s="458"/>
      <c r="P482" s="458"/>
      <c r="Q482" s="458"/>
      <c r="R482" s="458"/>
      <c r="S482" s="458"/>
      <c r="T482" s="458"/>
      <c r="U482" s="458"/>
      <c r="V482" s="1040"/>
      <c r="W482" s="1014"/>
      <c r="X482" s="1041"/>
      <c r="Y482" s="458"/>
    </row>
    <row r="483" spans="4:25" ht="15" customHeight="1">
      <c r="D483" s="1000" t="s">
        <v>1882</v>
      </c>
      <c r="E483" s="1001"/>
      <c r="F483" s="1002"/>
      <c r="G483" s="458"/>
      <c r="H483" s="458"/>
      <c r="I483" s="458"/>
      <c r="J483" s="458"/>
      <c r="K483" s="1006" t="s">
        <v>1883</v>
      </c>
      <c r="L483" s="1007"/>
      <c r="M483" s="1007"/>
      <c r="N483" s="1007"/>
      <c r="O483" s="1008"/>
      <c r="P483" s="458"/>
      <c r="Q483" s="458"/>
      <c r="R483" s="458"/>
      <c r="S483" s="458"/>
      <c r="T483" s="458"/>
      <c r="U483" s="458"/>
      <c r="V483" s="1040"/>
      <c r="W483" s="1014"/>
      <c r="X483" s="1041"/>
      <c r="Y483" s="458"/>
    </row>
    <row r="484" spans="4:25">
      <c r="D484" s="1003"/>
      <c r="E484" s="1004"/>
      <c r="F484" s="1005"/>
      <c r="G484" s="458"/>
      <c r="H484" s="458"/>
      <c r="I484" s="458"/>
      <c r="J484" s="458"/>
      <c r="K484" s="1009"/>
      <c r="L484" s="1010"/>
      <c r="M484" s="1010"/>
      <c r="N484" s="1010"/>
      <c r="O484" s="1011"/>
      <c r="P484" s="458"/>
      <c r="Q484" s="458"/>
      <c r="R484" s="458"/>
      <c r="S484" s="458"/>
      <c r="T484" s="458"/>
      <c r="U484" s="458"/>
      <c r="V484" s="1009"/>
      <c r="W484" s="1010"/>
      <c r="X484" s="1011"/>
      <c r="Y484" s="458"/>
    </row>
    <row r="488" spans="4:25" ht="18.75">
      <c r="D488" s="1012" t="s">
        <v>1888</v>
      </c>
      <c r="E488" s="1012"/>
      <c r="F488" s="1012"/>
      <c r="G488" s="1012"/>
      <c r="H488" s="1012"/>
      <c r="I488" s="1012"/>
      <c r="J488" s="1012"/>
      <c r="K488" s="1012"/>
      <c r="L488" s="1012"/>
      <c r="M488" s="1012"/>
      <c r="N488" s="1012"/>
      <c r="O488" s="1012"/>
      <c r="P488" s="1012"/>
      <c r="Q488" s="1012"/>
      <c r="R488" s="1012"/>
      <c r="S488" s="1012"/>
      <c r="T488" s="1012"/>
      <c r="U488" s="1012"/>
      <c r="V488" s="1012"/>
      <c r="W488" s="1012"/>
      <c r="X488" s="1012"/>
    </row>
    <row r="489" spans="4:25">
      <c r="M489" s="458"/>
      <c r="N489" s="458"/>
      <c r="O489" s="458"/>
      <c r="P489" s="458"/>
      <c r="Q489" s="458"/>
      <c r="R489" s="458"/>
      <c r="S489" s="458"/>
      <c r="T489" s="458"/>
      <c r="U489" s="458"/>
      <c r="V489" s="458"/>
      <c r="W489" s="458"/>
      <c r="X489" s="458"/>
    </row>
    <row r="490" spans="4:25">
      <c r="D490" s="729" t="s">
        <v>1889</v>
      </c>
      <c r="E490" s="729"/>
      <c r="F490" s="729"/>
      <c r="G490" s="729"/>
      <c r="H490" s="729"/>
      <c r="I490" s="729"/>
      <c r="J490" s="729"/>
      <c r="K490" s="729"/>
      <c r="L490" s="729"/>
      <c r="M490" s="729"/>
      <c r="N490" s="729"/>
      <c r="O490" s="729"/>
      <c r="P490" s="729"/>
      <c r="Q490" s="729"/>
      <c r="R490" s="729"/>
      <c r="S490" s="729"/>
      <c r="T490" s="729"/>
      <c r="U490" s="729"/>
      <c r="V490" s="729"/>
      <c r="W490" s="729"/>
      <c r="X490" s="729"/>
    </row>
    <row r="491" spans="4:25">
      <c r="M491" s="458"/>
      <c r="N491" s="458"/>
      <c r="O491" s="458"/>
      <c r="P491" s="458"/>
      <c r="Q491" s="458"/>
      <c r="R491" s="458"/>
      <c r="S491" s="458"/>
      <c r="T491" s="458"/>
      <c r="U491" s="458"/>
      <c r="V491" s="458"/>
      <c r="W491" s="458"/>
      <c r="X491" s="458"/>
    </row>
    <row r="492" spans="4:25" ht="27.75" customHeight="1">
      <c r="D492" s="1013" t="s">
        <v>1860</v>
      </c>
      <c r="E492" s="1013"/>
      <c r="F492" s="1013"/>
      <c r="G492" s="304"/>
      <c r="H492" s="304"/>
      <c r="I492" s="304"/>
      <c r="J492" s="1013" t="s">
        <v>1861</v>
      </c>
      <c r="K492" s="1013"/>
      <c r="L492" s="1013"/>
      <c r="M492" s="1013"/>
      <c r="N492" s="1013"/>
      <c r="O492" s="1013"/>
      <c r="P492" s="1013"/>
      <c r="Q492" s="638"/>
      <c r="R492" s="638"/>
      <c r="S492" s="638"/>
      <c r="T492" s="638"/>
      <c r="U492" s="638"/>
      <c r="V492" s="1013" t="s">
        <v>1862</v>
      </c>
      <c r="W492" s="1013"/>
      <c r="X492" s="1013"/>
    </row>
    <row r="493" spans="4:25" ht="27.75" customHeight="1">
      <c r="D493" s="304"/>
      <c r="E493" s="304"/>
      <c r="F493" s="304"/>
      <c r="G493" s="304"/>
      <c r="H493" s="304"/>
      <c r="I493" s="304"/>
      <c r="J493" s="304"/>
      <c r="K493" s="304"/>
      <c r="L493" s="304"/>
      <c r="M493" s="304"/>
      <c r="N493" s="638"/>
      <c r="O493" s="638"/>
      <c r="P493" s="638"/>
      <c r="Q493" s="638"/>
      <c r="R493" s="638"/>
      <c r="S493" s="638"/>
      <c r="T493" s="638"/>
      <c r="U493" s="638"/>
      <c r="V493" s="304"/>
      <c r="W493" s="638"/>
      <c r="X493" s="638"/>
    </row>
    <row r="494" spans="4:25" ht="39" customHeight="1">
      <c r="D494" s="902" t="s">
        <v>1863</v>
      </c>
      <c r="E494" s="900"/>
      <c r="F494" s="901"/>
      <c r="G494" s="304"/>
      <c r="H494" s="304"/>
      <c r="I494" s="304"/>
      <c r="J494" s="304"/>
      <c r="K494" s="304"/>
      <c r="L494" s="902" t="s">
        <v>1864</v>
      </c>
      <c r="M494" s="900"/>
      <c r="N494" s="901"/>
      <c r="O494" s="638"/>
      <c r="P494" s="638"/>
      <c r="Q494" s="1014"/>
      <c r="R494" s="1014"/>
      <c r="S494" s="1014"/>
      <c r="T494" s="638"/>
      <c r="U494" s="638"/>
      <c r="V494" s="1006" t="s">
        <v>1890</v>
      </c>
      <c r="W494" s="1007"/>
      <c r="X494" s="1008"/>
    </row>
    <row r="495" spans="4:25" ht="39" customHeight="1">
      <c r="D495" s="304"/>
      <c r="E495" s="304"/>
      <c r="F495" s="304"/>
      <c r="G495" s="304"/>
      <c r="H495" s="304"/>
      <c r="I495" s="304"/>
      <c r="J495" s="304"/>
      <c r="K495" s="304"/>
      <c r="L495" s="304"/>
      <c r="M495" s="304"/>
      <c r="N495" s="638"/>
      <c r="O495" s="638"/>
      <c r="P495" s="638"/>
      <c r="Q495" s="638"/>
      <c r="R495" s="638"/>
      <c r="S495" s="638"/>
      <c r="T495" s="638"/>
      <c r="U495" s="638"/>
      <c r="V495" s="1040"/>
      <c r="W495" s="1014"/>
      <c r="X495" s="1041"/>
    </row>
    <row r="496" spans="4:25" ht="39" customHeight="1">
      <c r="D496" s="899" t="s">
        <v>1867</v>
      </c>
      <c r="E496" s="998"/>
      <c r="F496" s="999"/>
      <c r="G496" s="304"/>
      <c r="H496" s="304"/>
      <c r="I496" s="304"/>
      <c r="J496" s="304"/>
      <c r="K496" s="304"/>
      <c r="L496" s="899" t="s">
        <v>1868</v>
      </c>
      <c r="M496" s="998"/>
      <c r="N496" s="999"/>
      <c r="O496" s="638"/>
      <c r="P496" s="638"/>
      <c r="Q496" s="1014"/>
      <c r="R496" s="1014"/>
      <c r="S496" s="1014"/>
      <c r="T496" s="638"/>
      <c r="U496" s="638"/>
      <c r="V496" s="1040"/>
      <c r="W496" s="1014"/>
      <c r="X496" s="1041"/>
    </row>
    <row r="497" spans="4:24" ht="39" customHeight="1">
      <c r="D497" s="304"/>
      <c r="E497" s="304"/>
      <c r="F497" s="304"/>
      <c r="G497" s="304"/>
      <c r="H497" s="304"/>
      <c r="I497" s="304"/>
      <c r="J497" s="304"/>
      <c r="K497" s="304"/>
      <c r="L497" s="304"/>
      <c r="M497" s="304"/>
      <c r="N497" s="638"/>
      <c r="O497" s="638"/>
      <c r="P497" s="638"/>
      <c r="Q497" s="638"/>
      <c r="R497" s="638"/>
      <c r="S497" s="638"/>
      <c r="T497" s="638"/>
      <c r="U497" s="638"/>
      <c r="V497" s="1040"/>
      <c r="W497" s="1014"/>
      <c r="X497" s="1041"/>
    </row>
    <row r="498" spans="4:24" ht="39" customHeight="1">
      <c r="D498" s="902" t="s">
        <v>1870</v>
      </c>
      <c r="E498" s="900"/>
      <c r="F498" s="901"/>
      <c r="G498" s="304"/>
      <c r="H498" s="304"/>
      <c r="I498" s="304"/>
      <c r="J498" s="304"/>
      <c r="K498" s="304"/>
      <c r="L498" s="899" t="s">
        <v>1871</v>
      </c>
      <c r="M498" s="998"/>
      <c r="N498" s="999"/>
      <c r="O498" s="638"/>
      <c r="P498" s="638"/>
      <c r="Q498" s="304"/>
      <c r="R498" s="638"/>
      <c r="S498" s="638"/>
      <c r="T498" s="638"/>
      <c r="U498" s="638"/>
      <c r="V498" s="1040"/>
      <c r="W498" s="1014"/>
      <c r="X498" s="1041"/>
    </row>
    <row r="499" spans="4:24" ht="39" customHeight="1">
      <c r="D499" s="304"/>
      <c r="E499" s="304"/>
      <c r="F499" s="304"/>
      <c r="G499" s="304"/>
      <c r="H499" s="304"/>
      <c r="I499" s="304"/>
      <c r="J499" s="304"/>
      <c r="K499" s="304"/>
      <c r="L499" s="304"/>
      <c r="M499" s="304"/>
      <c r="N499" s="638"/>
      <c r="O499" s="638"/>
      <c r="P499" s="638"/>
      <c r="Q499" s="304"/>
      <c r="R499" s="638"/>
      <c r="S499" s="638"/>
      <c r="T499" s="638"/>
      <c r="U499" s="638"/>
      <c r="V499" s="1040"/>
      <c r="W499" s="1014"/>
      <c r="X499" s="1041"/>
    </row>
    <row r="500" spans="4:24" ht="39" customHeight="1">
      <c r="D500" s="902" t="s">
        <v>1875</v>
      </c>
      <c r="E500" s="900"/>
      <c r="F500" s="901"/>
      <c r="G500" s="273"/>
      <c r="H500" s="1014"/>
      <c r="I500" s="1014"/>
      <c r="J500" s="1014"/>
      <c r="L500" s="899" t="s">
        <v>1877</v>
      </c>
      <c r="M500" s="998"/>
      <c r="N500" s="999"/>
      <c r="O500" s="458"/>
      <c r="P500" s="458"/>
      <c r="Q500" s="902" t="s">
        <v>1878</v>
      </c>
      <c r="R500" s="900"/>
      <c r="S500" s="901"/>
      <c r="T500" s="458"/>
      <c r="U500" s="458"/>
      <c r="V500" s="1040"/>
      <c r="W500" s="1014"/>
      <c r="X500" s="1041"/>
    </row>
    <row r="501" spans="4:24" ht="39" customHeight="1">
      <c r="F501" s="289"/>
      <c r="G501" s="290"/>
      <c r="J501" s="290"/>
      <c r="L501" s="290"/>
      <c r="M501" s="290"/>
      <c r="N501" s="458"/>
      <c r="O501" s="458"/>
      <c r="P501" s="458"/>
      <c r="Q501" s="458"/>
      <c r="R501" s="458"/>
      <c r="S501" s="458"/>
      <c r="T501" s="458"/>
      <c r="U501" s="458"/>
      <c r="V501" s="1040"/>
      <c r="W501" s="1014"/>
      <c r="X501" s="1041"/>
    </row>
    <row r="502" spans="4:24" ht="39" customHeight="1">
      <c r="D502" s="902" t="s">
        <v>1879</v>
      </c>
      <c r="E502" s="900"/>
      <c r="F502" s="901"/>
      <c r="L502" s="899" t="s">
        <v>1880</v>
      </c>
      <c r="M502" s="998"/>
      <c r="N502" s="999"/>
      <c r="O502" s="458"/>
      <c r="P502" s="458"/>
      <c r="Q502" s="458"/>
      <c r="R502" s="458"/>
      <c r="S502" s="458"/>
      <c r="T502" s="458"/>
      <c r="U502" s="458"/>
      <c r="V502" s="1040"/>
      <c r="W502" s="1014"/>
      <c r="X502" s="1041"/>
    </row>
    <row r="503" spans="4:24" ht="39" customHeight="1">
      <c r="N503" s="458"/>
      <c r="O503" s="458"/>
      <c r="P503" s="458"/>
      <c r="Q503" s="458"/>
      <c r="R503" s="458"/>
      <c r="S503" s="458"/>
      <c r="T503" s="458"/>
      <c r="U503" s="458"/>
      <c r="V503" s="1040"/>
      <c r="W503" s="1014"/>
      <c r="X503" s="1041"/>
    </row>
    <row r="504" spans="4:24" ht="39" customHeight="1">
      <c r="D504" s="902" t="s">
        <v>1881</v>
      </c>
      <c r="E504" s="900"/>
      <c r="F504" s="901"/>
      <c r="L504" s="899" t="s">
        <v>1872</v>
      </c>
      <c r="M504" s="998"/>
      <c r="N504" s="999"/>
      <c r="O504" s="458"/>
      <c r="P504" s="458"/>
      <c r="Q504" s="458"/>
      <c r="R504" s="458"/>
      <c r="S504" s="458"/>
      <c r="T504" s="458"/>
      <c r="U504" s="458"/>
      <c r="V504" s="1040"/>
      <c r="W504" s="1014"/>
      <c r="X504" s="1041"/>
    </row>
    <row r="505" spans="4:24" ht="27.75" customHeight="1">
      <c r="M505" s="458"/>
      <c r="N505" s="458"/>
      <c r="O505" s="458"/>
      <c r="P505" s="458"/>
      <c r="Q505" s="458"/>
      <c r="R505" s="458"/>
      <c r="S505" s="458"/>
      <c r="T505" s="458"/>
      <c r="U505" s="458"/>
      <c r="V505" s="1040"/>
      <c r="W505" s="1014"/>
      <c r="X505" s="1041"/>
    </row>
    <row r="506" spans="4:24" ht="27.75" customHeight="1">
      <c r="D506" s="1000" t="s">
        <v>1882</v>
      </c>
      <c r="E506" s="1001"/>
      <c r="F506" s="1002"/>
      <c r="G506" s="458"/>
      <c r="H506" s="458"/>
      <c r="I506" s="458"/>
      <c r="J506" s="458"/>
      <c r="K506" s="1006" t="s">
        <v>1883</v>
      </c>
      <c r="L506" s="1007"/>
      <c r="M506" s="1007"/>
      <c r="N506" s="1007"/>
      <c r="O506" s="1008"/>
      <c r="P506" s="458"/>
      <c r="Q506" s="458"/>
      <c r="R506" s="458"/>
      <c r="S506" s="458"/>
      <c r="T506" s="458"/>
      <c r="U506" s="458"/>
      <c r="V506" s="1040"/>
      <c r="W506" s="1014"/>
      <c r="X506" s="1041"/>
    </row>
    <row r="507" spans="4:24" ht="27.75" customHeight="1">
      <c r="D507" s="1003"/>
      <c r="E507" s="1004"/>
      <c r="F507" s="1005"/>
      <c r="G507" s="458"/>
      <c r="H507" s="458"/>
      <c r="I507" s="458"/>
      <c r="J507" s="458"/>
      <c r="K507" s="1009"/>
      <c r="L507" s="1010"/>
      <c r="M507" s="1010"/>
      <c r="N507" s="1010"/>
      <c r="O507" s="1011"/>
      <c r="P507" s="458"/>
      <c r="Q507" s="458"/>
      <c r="R507" s="458"/>
      <c r="S507" s="458"/>
      <c r="T507" s="458"/>
      <c r="U507" s="458"/>
      <c r="V507" s="1009"/>
      <c r="W507" s="1010"/>
      <c r="X507" s="1011"/>
    </row>
    <row r="512" spans="4:24" ht="18.75">
      <c r="D512" s="1012" t="s">
        <v>1891</v>
      </c>
      <c r="E512" s="1012"/>
      <c r="F512" s="1012"/>
      <c r="G512" s="1012"/>
      <c r="H512" s="1012"/>
      <c r="I512" s="1012"/>
      <c r="J512" s="1012"/>
      <c r="K512" s="1012"/>
      <c r="L512" s="1012"/>
      <c r="M512" s="1012"/>
      <c r="N512" s="1012"/>
      <c r="O512" s="1012"/>
      <c r="P512" s="1012"/>
      <c r="Q512" s="1012"/>
      <c r="R512" s="1012"/>
      <c r="S512" s="1012"/>
      <c r="T512" s="1012"/>
      <c r="U512" s="1012"/>
      <c r="V512" s="1012"/>
      <c r="W512" s="1012"/>
      <c r="X512" s="1012"/>
    </row>
    <row r="513" spans="4:24">
      <c r="M513" s="458"/>
      <c r="N513" s="458"/>
      <c r="O513" s="458"/>
      <c r="P513" s="458"/>
      <c r="Q513" s="458"/>
      <c r="R513" s="458"/>
      <c r="S513" s="458"/>
      <c r="T513" s="458"/>
      <c r="U513" s="458"/>
      <c r="V513" s="458"/>
      <c r="W513" s="458"/>
      <c r="X513" s="458"/>
    </row>
    <row r="514" spans="4:24">
      <c r="D514" s="729" t="s">
        <v>1892</v>
      </c>
      <c r="E514" s="729"/>
      <c r="F514" s="729"/>
      <c r="G514" s="729"/>
      <c r="H514" s="729"/>
      <c r="I514" s="729"/>
      <c r="J514" s="729"/>
      <c r="K514" s="729"/>
      <c r="L514" s="729"/>
      <c r="M514" s="729"/>
      <c r="N514" s="729"/>
      <c r="O514" s="729"/>
      <c r="P514" s="729"/>
      <c r="Q514" s="729"/>
      <c r="R514" s="729"/>
      <c r="S514" s="729"/>
      <c r="T514" s="729"/>
      <c r="U514" s="729"/>
      <c r="V514" s="729"/>
      <c r="W514" s="729"/>
      <c r="X514" s="729"/>
    </row>
    <row r="515" spans="4:24">
      <c r="M515" s="458"/>
      <c r="N515" s="458"/>
      <c r="O515" s="458"/>
      <c r="P515" s="458"/>
      <c r="Q515" s="458"/>
      <c r="R515" s="458"/>
      <c r="S515" s="458"/>
      <c r="T515" s="458"/>
      <c r="U515" s="458"/>
      <c r="V515" s="458"/>
      <c r="W515" s="458"/>
      <c r="X515" s="458"/>
    </row>
    <row r="516" spans="4:24" ht="27.75" customHeight="1">
      <c r="D516" s="1013" t="s">
        <v>1860</v>
      </c>
      <c r="E516" s="1013"/>
      <c r="F516" s="1013"/>
      <c r="G516" s="304"/>
      <c r="H516" s="304"/>
      <c r="I516" s="304"/>
      <c r="J516" s="1013" t="s">
        <v>1861</v>
      </c>
      <c r="K516" s="1013"/>
      <c r="L516" s="1013"/>
      <c r="M516" s="1013"/>
      <c r="N516" s="1013"/>
      <c r="O516" s="1013"/>
      <c r="P516" s="1013"/>
      <c r="Q516" s="638"/>
      <c r="R516" s="638"/>
      <c r="S516" s="638"/>
      <c r="T516" s="638"/>
      <c r="U516" s="638"/>
      <c r="V516" s="1013" t="s">
        <v>1862</v>
      </c>
      <c r="W516" s="1013"/>
      <c r="X516" s="1013"/>
    </row>
    <row r="517" spans="4:24" ht="27.75" customHeight="1">
      <c r="D517" s="304"/>
      <c r="E517" s="304"/>
      <c r="F517" s="304"/>
      <c r="G517" s="304"/>
      <c r="H517" s="304"/>
      <c r="I517" s="304"/>
      <c r="J517" s="304"/>
      <c r="K517" s="304"/>
      <c r="L517" s="304"/>
      <c r="M517" s="304"/>
      <c r="N517" s="638"/>
      <c r="O517" s="638"/>
      <c r="P517" s="638"/>
      <c r="Q517" s="638"/>
      <c r="R517" s="638"/>
      <c r="S517" s="638"/>
      <c r="T517" s="638"/>
      <c r="U517" s="638"/>
      <c r="V517" s="304"/>
      <c r="W517" s="638"/>
      <c r="X517" s="638"/>
    </row>
    <row r="518" spans="4:24" ht="40.5" customHeight="1">
      <c r="D518" s="902" t="s">
        <v>1863</v>
      </c>
      <c r="E518" s="900"/>
      <c r="F518" s="901"/>
      <c r="G518" s="304"/>
      <c r="H518" s="304"/>
      <c r="I518" s="304"/>
      <c r="J518" s="304"/>
      <c r="K518" s="304"/>
      <c r="L518" s="902" t="s">
        <v>1864</v>
      </c>
      <c r="M518" s="900"/>
      <c r="N518" s="901"/>
      <c r="O518" s="638"/>
      <c r="P518" s="638"/>
      <c r="Q518" s="1014"/>
      <c r="R518" s="1014"/>
      <c r="S518" s="1014"/>
      <c r="T518" s="638"/>
      <c r="U518" s="638"/>
      <c r="V518" s="1006" t="s">
        <v>1890</v>
      </c>
      <c r="W518" s="1007"/>
      <c r="X518" s="1008"/>
    </row>
    <row r="519" spans="4:24" ht="40.5" customHeight="1">
      <c r="D519" s="304"/>
      <c r="E519" s="304"/>
      <c r="F519" s="304"/>
      <c r="G519" s="304"/>
      <c r="H519" s="304"/>
      <c r="I519" s="304"/>
      <c r="J519" s="304"/>
      <c r="K519" s="304"/>
      <c r="L519" s="304"/>
      <c r="M519" s="304"/>
      <c r="N519" s="638"/>
      <c r="O519" s="638"/>
      <c r="P519" s="638"/>
      <c r="Q519" s="638"/>
      <c r="R519" s="638"/>
      <c r="S519" s="638"/>
      <c r="T519" s="638"/>
      <c r="U519" s="638"/>
      <c r="V519" s="1040"/>
      <c r="W519" s="1014"/>
      <c r="X519" s="1041"/>
    </row>
    <row r="520" spans="4:24" ht="40.5" customHeight="1">
      <c r="D520" s="899" t="s">
        <v>1867</v>
      </c>
      <c r="E520" s="998"/>
      <c r="F520" s="999"/>
      <c r="G520" s="304"/>
      <c r="H520" s="304"/>
      <c r="I520" s="304"/>
      <c r="J520" s="304"/>
      <c r="K520" s="304"/>
      <c r="L520" s="899" t="s">
        <v>1868</v>
      </c>
      <c r="M520" s="998"/>
      <c r="N520" s="999"/>
      <c r="O520" s="638"/>
      <c r="P520" s="638"/>
      <c r="Q520" s="1014"/>
      <c r="R520" s="1014"/>
      <c r="S520" s="1014"/>
      <c r="T520" s="638"/>
      <c r="U520" s="638"/>
      <c r="V520" s="1040"/>
      <c r="W520" s="1014"/>
      <c r="X520" s="1041"/>
    </row>
    <row r="521" spans="4:24" ht="40.5" customHeight="1">
      <c r="D521" s="304"/>
      <c r="E521" s="304"/>
      <c r="F521" s="304"/>
      <c r="G521" s="304"/>
      <c r="H521" s="304"/>
      <c r="I521" s="304"/>
      <c r="J521" s="304"/>
      <c r="K521" s="304"/>
      <c r="L521" s="304"/>
      <c r="M521" s="304"/>
      <c r="N521" s="638"/>
      <c r="O521" s="638"/>
      <c r="P521" s="638"/>
      <c r="Q521" s="638"/>
      <c r="R521" s="638"/>
      <c r="S521" s="638"/>
      <c r="T521" s="638"/>
      <c r="U521" s="638"/>
      <c r="V521" s="1040"/>
      <c r="W521" s="1014"/>
      <c r="X521" s="1041"/>
    </row>
    <row r="522" spans="4:24" ht="40.5" customHeight="1">
      <c r="D522" s="902" t="s">
        <v>1870</v>
      </c>
      <c r="E522" s="900"/>
      <c r="F522" s="901"/>
      <c r="G522" s="304"/>
      <c r="H522" s="304"/>
      <c r="I522" s="304"/>
      <c r="J522" s="304"/>
      <c r="K522" s="304"/>
      <c r="L522" s="899" t="s">
        <v>1871</v>
      </c>
      <c r="M522" s="998"/>
      <c r="N522" s="999"/>
      <c r="O522" s="638"/>
      <c r="P522" s="638"/>
      <c r="Q522" s="304"/>
      <c r="R522" s="638"/>
      <c r="S522" s="638"/>
      <c r="T522" s="638"/>
      <c r="U522" s="638"/>
      <c r="V522" s="1040"/>
      <c r="W522" s="1014"/>
      <c r="X522" s="1041"/>
    </row>
    <row r="523" spans="4:24" ht="40.5" customHeight="1">
      <c r="D523" s="304"/>
      <c r="E523" s="304"/>
      <c r="F523" s="304"/>
      <c r="G523" s="304"/>
      <c r="H523" s="304"/>
      <c r="I523" s="304"/>
      <c r="J523" s="304"/>
      <c r="K523" s="304"/>
      <c r="L523" s="304"/>
      <c r="M523" s="304"/>
      <c r="N523" s="638"/>
      <c r="O523" s="638"/>
      <c r="P523" s="638"/>
      <c r="Q523" s="304"/>
      <c r="R523" s="638"/>
      <c r="S523" s="638"/>
      <c r="T523" s="638"/>
      <c r="U523" s="638"/>
      <c r="V523" s="1040"/>
      <c r="W523" s="1014"/>
      <c r="X523" s="1041"/>
    </row>
    <row r="524" spans="4:24" ht="40.5" customHeight="1">
      <c r="D524" s="902" t="s">
        <v>1875</v>
      </c>
      <c r="E524" s="900"/>
      <c r="F524" s="901"/>
      <c r="G524" s="273"/>
      <c r="H524" s="1014"/>
      <c r="I524" s="1014"/>
      <c r="J524" s="1014"/>
      <c r="L524" s="899" t="s">
        <v>1877</v>
      </c>
      <c r="M524" s="998"/>
      <c r="N524" s="999"/>
      <c r="O524" s="458"/>
      <c r="P524" s="458"/>
      <c r="Q524" s="902" t="s">
        <v>1878</v>
      </c>
      <c r="R524" s="900"/>
      <c r="S524" s="901"/>
      <c r="T524" s="458"/>
      <c r="U524" s="458"/>
      <c r="V524" s="1040"/>
      <c r="W524" s="1014"/>
      <c r="X524" s="1041"/>
    </row>
    <row r="525" spans="4:24" ht="40.5" customHeight="1">
      <c r="F525" s="289"/>
      <c r="G525" s="290"/>
      <c r="J525" s="290"/>
      <c r="L525" s="290"/>
      <c r="M525" s="290"/>
      <c r="N525" s="458"/>
      <c r="O525" s="458"/>
      <c r="P525" s="458"/>
      <c r="Q525" s="458"/>
      <c r="R525" s="458"/>
      <c r="S525" s="458"/>
      <c r="T525" s="458"/>
      <c r="U525" s="458"/>
      <c r="V525" s="1040"/>
      <c r="W525" s="1014"/>
      <c r="X525" s="1041"/>
    </row>
    <row r="526" spans="4:24" ht="40.5" customHeight="1">
      <c r="D526" s="812" t="s">
        <v>1879</v>
      </c>
      <c r="E526" s="813"/>
      <c r="F526" s="814"/>
      <c r="L526" s="892" t="s">
        <v>1880</v>
      </c>
      <c r="M526" s="893"/>
      <c r="N526" s="894"/>
      <c r="O526" s="458"/>
      <c r="P526" s="458"/>
      <c r="Q526" s="458"/>
      <c r="R526" s="458"/>
      <c r="S526" s="458"/>
      <c r="T526" s="458"/>
      <c r="U526" s="458"/>
      <c r="V526" s="1040"/>
      <c r="W526" s="1014"/>
      <c r="X526" s="1041"/>
    </row>
    <row r="527" spans="4:24" ht="40.5" customHeight="1">
      <c r="N527" s="458"/>
      <c r="O527" s="458"/>
      <c r="P527" s="458"/>
      <c r="Q527" s="458"/>
      <c r="R527" s="458"/>
      <c r="S527" s="458"/>
      <c r="T527" s="458"/>
      <c r="U527" s="458"/>
      <c r="V527" s="1040"/>
      <c r="W527" s="1014"/>
      <c r="X527" s="1041"/>
    </row>
    <row r="528" spans="4:24" ht="40.5" customHeight="1">
      <c r="D528" s="902" t="s">
        <v>1881</v>
      </c>
      <c r="E528" s="900"/>
      <c r="F528" s="901"/>
      <c r="L528" s="899" t="s">
        <v>1872</v>
      </c>
      <c r="M528" s="998"/>
      <c r="N528" s="999"/>
      <c r="O528" s="458"/>
      <c r="P528" s="458"/>
      <c r="Q528" s="458"/>
      <c r="R528" s="458"/>
      <c r="S528" s="458"/>
      <c r="T528" s="458"/>
      <c r="U528" s="458"/>
      <c r="V528" s="1040"/>
      <c r="W528" s="1014"/>
      <c r="X528" s="1041"/>
    </row>
    <row r="529" spans="2:25" ht="40.5" customHeight="1">
      <c r="M529" s="458"/>
      <c r="N529" s="458"/>
      <c r="O529" s="458"/>
      <c r="P529" s="458"/>
      <c r="Q529" s="458"/>
      <c r="R529" s="458"/>
      <c r="S529" s="458"/>
      <c r="T529" s="458"/>
      <c r="U529" s="458"/>
      <c r="V529" s="1040"/>
      <c r="W529" s="1014"/>
      <c r="X529" s="1041"/>
    </row>
    <row r="530" spans="2:25" ht="25.5" customHeight="1">
      <c r="D530" s="1000" t="s">
        <v>1882</v>
      </c>
      <c r="E530" s="1001"/>
      <c r="F530" s="1002"/>
      <c r="G530" s="458"/>
      <c r="H530" s="458"/>
      <c r="I530" s="458"/>
      <c r="J530" s="458"/>
      <c r="K530" s="1006" t="s">
        <v>1883</v>
      </c>
      <c r="L530" s="1007"/>
      <c r="M530" s="1007"/>
      <c r="N530" s="1007"/>
      <c r="O530" s="1008"/>
      <c r="P530" s="458"/>
      <c r="Q530" s="458"/>
      <c r="R530" s="458"/>
      <c r="S530" s="458"/>
      <c r="T530" s="458"/>
      <c r="U530" s="458"/>
      <c r="V530" s="1040"/>
      <c r="W530" s="1014"/>
      <c r="X530" s="1041"/>
    </row>
    <row r="531" spans="2:25" ht="27.75" customHeight="1">
      <c r="D531" s="1003"/>
      <c r="E531" s="1004"/>
      <c r="F531" s="1005"/>
      <c r="G531" s="458"/>
      <c r="H531" s="458"/>
      <c r="I531" s="458"/>
      <c r="J531" s="458"/>
      <c r="K531" s="1009"/>
      <c r="L531" s="1010"/>
      <c r="M531" s="1010"/>
      <c r="N531" s="1010"/>
      <c r="O531" s="1011"/>
      <c r="P531" s="458"/>
      <c r="Q531" s="458"/>
      <c r="R531" s="458"/>
      <c r="S531" s="458"/>
      <c r="T531" s="458"/>
      <c r="U531" s="458"/>
      <c r="V531" s="1009"/>
      <c r="W531" s="1010"/>
      <c r="X531" s="1011"/>
    </row>
    <row r="534" spans="2:25" ht="48.75" customHeight="1">
      <c r="B534" s="515"/>
      <c r="C534" s="515"/>
      <c r="D534" s="996" t="s">
        <v>962</v>
      </c>
      <c r="E534" s="996"/>
      <c r="F534" s="996"/>
      <c r="G534" s="996"/>
      <c r="H534" s="996"/>
      <c r="I534" s="996"/>
      <c r="J534" s="996"/>
      <c r="K534" s="996"/>
      <c r="L534" s="996"/>
      <c r="M534" s="996"/>
      <c r="N534" s="996"/>
      <c r="O534" s="996"/>
      <c r="P534" s="996"/>
      <c r="Q534" s="996"/>
      <c r="R534" s="996"/>
      <c r="S534" s="996"/>
      <c r="T534" s="996"/>
      <c r="U534" s="996"/>
      <c r="V534" s="996"/>
      <c r="W534" s="996"/>
      <c r="X534" s="996"/>
      <c r="Y534" s="996"/>
    </row>
    <row r="535" spans="2:25" ht="19.5" customHeight="1">
      <c r="B535" s="515"/>
      <c r="C535" s="515"/>
      <c r="D535" s="515" t="s">
        <v>964</v>
      </c>
      <c r="E535" s="515"/>
      <c r="F535" s="515"/>
      <c r="G535" s="515"/>
      <c r="H535" s="515"/>
      <c r="I535" s="515"/>
      <c r="J535" s="515"/>
      <c r="K535" s="515"/>
      <c r="L535" s="515"/>
      <c r="M535" s="515"/>
      <c r="N535" s="515"/>
      <c r="O535" s="515"/>
      <c r="P535" s="515"/>
      <c r="Q535" s="515"/>
      <c r="R535" s="515"/>
      <c r="S535" s="515"/>
      <c r="T535" s="515"/>
      <c r="U535" s="515"/>
      <c r="V535" s="515"/>
      <c r="W535" s="515"/>
      <c r="X535" s="515"/>
      <c r="Y535" s="515"/>
    </row>
    <row r="536" spans="2:25" ht="19.5" customHeight="1"/>
    <row r="537" spans="2:25" ht="19.5" customHeight="1">
      <c r="D537" s="1063"/>
      <c r="E537" s="1063"/>
      <c r="F537" s="1063"/>
      <c r="G537" s="1063"/>
      <c r="H537" s="1063"/>
      <c r="I537" s="1063"/>
      <c r="J537" s="1063"/>
      <c r="K537" s="1063"/>
      <c r="L537" s="1063"/>
      <c r="M537" s="1063"/>
      <c r="N537" s="1063"/>
      <c r="O537" s="1063"/>
      <c r="P537" s="1063"/>
      <c r="Q537" s="1063"/>
      <c r="R537" s="1063"/>
      <c r="S537" s="1063"/>
      <c r="T537" s="1063"/>
      <c r="U537" s="1063"/>
      <c r="V537" s="1063"/>
      <c r="W537" s="1063"/>
      <c r="X537" s="1063"/>
    </row>
    <row r="538" spans="2:25" ht="19.5" customHeight="1"/>
    <row r="539" spans="2:25" s="304" customFormat="1" ht="38.25" customHeight="1">
      <c r="D539" s="1062"/>
      <c r="E539" s="1062"/>
      <c r="F539" s="1062"/>
      <c r="L539" s="1062"/>
      <c r="M539" s="1062"/>
      <c r="N539" s="1062"/>
      <c r="V539" s="1062"/>
      <c r="W539" s="1062"/>
      <c r="X539" s="1062"/>
    </row>
    <row r="540" spans="2:25" s="304" customFormat="1" ht="38.25" customHeight="1"/>
    <row r="541" spans="2:25" s="304" customFormat="1" ht="38.25" customHeight="1">
      <c r="D541" s="1062"/>
      <c r="E541" s="1062"/>
      <c r="F541" s="1062"/>
      <c r="L541" s="1062"/>
      <c r="M541" s="1062"/>
      <c r="N541" s="1062"/>
      <c r="V541" s="1014"/>
      <c r="W541" s="1014"/>
      <c r="X541" s="1014"/>
    </row>
    <row r="542" spans="2:25" s="304" customFormat="1" ht="38.25" customHeight="1">
      <c r="V542" s="1014"/>
      <c r="W542" s="1014"/>
      <c r="X542" s="1014"/>
    </row>
    <row r="543" spans="2:25" s="304" customFormat="1" ht="38.25" customHeight="1">
      <c r="D543" s="1062"/>
      <c r="E543" s="1062"/>
      <c r="F543" s="1062"/>
      <c r="L543" s="1062"/>
      <c r="M543" s="1062"/>
      <c r="N543" s="1062"/>
      <c r="V543" s="1014"/>
      <c r="W543" s="1014"/>
      <c r="X543" s="1014"/>
    </row>
    <row r="544" spans="2:25" s="304" customFormat="1" ht="38.25" customHeight="1">
      <c r="V544" s="1014"/>
      <c r="W544" s="1014"/>
      <c r="X544" s="1014"/>
    </row>
    <row r="545" spans="4:25" s="304" customFormat="1" ht="38.25" customHeight="1">
      <c r="D545" s="1062"/>
      <c r="E545" s="1062"/>
      <c r="F545" s="1062"/>
      <c r="L545" s="1062"/>
      <c r="M545" s="1062"/>
      <c r="N545" s="1062"/>
      <c r="V545" s="1014"/>
      <c r="W545" s="1014"/>
      <c r="X545" s="1014"/>
    </row>
    <row r="546" spans="4:25" s="304" customFormat="1" ht="38.25" customHeight="1">
      <c r="Q546" s="1014"/>
      <c r="R546" s="1014"/>
      <c r="S546" s="1014"/>
      <c r="V546" s="1014"/>
      <c r="W546" s="1014"/>
      <c r="X546" s="1014"/>
    </row>
    <row r="547" spans="4:25" s="304" customFormat="1" ht="38.25" customHeight="1">
      <c r="D547" s="1014"/>
      <c r="E547" s="1014"/>
      <c r="F547" s="1014"/>
      <c r="L547" s="1014"/>
      <c r="M547" s="1014"/>
      <c r="N547" s="1014"/>
      <c r="Q547" s="1014"/>
      <c r="R547" s="1014"/>
      <c r="S547" s="1014"/>
      <c r="V547" s="1014"/>
      <c r="W547" s="1014"/>
      <c r="X547" s="1014"/>
    </row>
    <row r="548" spans="4:25" s="304" customFormat="1" ht="38.25" customHeight="1">
      <c r="L548" s="1014"/>
      <c r="M548" s="1014"/>
      <c r="N548" s="1014"/>
      <c r="Q548" s="1014"/>
      <c r="R548" s="1014"/>
      <c r="S548" s="1014"/>
      <c r="V548" s="1014"/>
      <c r="W548" s="1014"/>
      <c r="X548" s="1014"/>
    </row>
    <row r="549" spans="4:25" s="304" customFormat="1" ht="38.25" customHeight="1">
      <c r="V549" s="1014"/>
      <c r="W549" s="1014"/>
      <c r="X549" s="1014"/>
    </row>
    <row r="550" spans="4:25" s="304" customFormat="1" ht="38.25" customHeight="1">
      <c r="D550" s="1062"/>
      <c r="E550" s="1062"/>
      <c r="F550" s="1062"/>
      <c r="G550" s="290"/>
      <c r="L550" s="1062"/>
      <c r="M550" s="1062"/>
      <c r="N550" s="1062"/>
      <c r="V550" s="1014"/>
      <c r="W550" s="1014"/>
      <c r="X550" s="1014"/>
    </row>
    <row r="551" spans="4:25" s="304" customFormat="1" ht="38.25" customHeight="1">
      <c r="F551" s="289"/>
      <c r="G551" s="290"/>
      <c r="L551" s="290"/>
      <c r="V551" s="1014"/>
      <c r="W551" s="1014"/>
      <c r="X551" s="1014"/>
    </row>
    <row r="552" spans="4:25" s="304" customFormat="1" ht="38.25" customHeight="1">
      <c r="D552" s="1062"/>
      <c r="E552" s="1062"/>
      <c r="F552" s="1062"/>
      <c r="L552" s="1062"/>
      <c r="M552" s="1062"/>
      <c r="N552" s="1062"/>
      <c r="V552" s="1014"/>
      <c r="W552" s="1014"/>
      <c r="X552" s="1014"/>
    </row>
    <row r="553" spans="4:25" s="304" customFormat="1" ht="38.25" customHeight="1">
      <c r="V553" s="1014"/>
      <c r="W553" s="1014"/>
      <c r="X553" s="1014"/>
    </row>
    <row r="554" spans="4:25" s="304" customFormat="1" ht="38.25" customHeight="1">
      <c r="D554" s="1062"/>
      <c r="E554" s="1062"/>
      <c r="F554" s="1062"/>
      <c r="L554" s="1062"/>
      <c r="M554" s="1062"/>
      <c r="N554" s="1062"/>
      <c r="V554" s="1014"/>
      <c r="W554" s="1014"/>
      <c r="X554" s="1014"/>
    </row>
    <row r="555" spans="4:25" s="304" customFormat="1" ht="19.5" customHeight="1"/>
    <row r="556" spans="4:25" ht="19.5" customHeight="1"/>
    <row r="557" spans="4:25" ht="19.5" customHeight="1"/>
    <row r="558" spans="4:25" ht="24" customHeight="1">
      <c r="D558" s="5" t="s">
        <v>965</v>
      </c>
    </row>
    <row r="559" spans="4:25" ht="8.25" customHeight="1"/>
    <row r="560" spans="4:25" ht="39.75" customHeight="1">
      <c r="D560" s="801" t="s">
        <v>966</v>
      </c>
      <c r="E560" s="801"/>
      <c r="F560" s="801"/>
      <c r="G560" s="801"/>
      <c r="H560" s="801"/>
      <c r="I560" s="801"/>
      <c r="J560" s="801"/>
      <c r="K560" s="801"/>
      <c r="L560" s="801"/>
      <c r="M560" s="801"/>
      <c r="N560" s="801"/>
      <c r="O560" s="801"/>
      <c r="P560" s="801"/>
      <c r="Q560" s="801"/>
      <c r="R560" s="801"/>
      <c r="S560" s="801"/>
      <c r="T560" s="801"/>
      <c r="U560" s="801"/>
      <c r="V560" s="801"/>
      <c r="W560" s="801"/>
      <c r="X560" s="801"/>
      <c r="Y560" s="801"/>
    </row>
    <row r="561" spans="4:25" s="448" customFormat="1" ht="39.75" customHeight="1">
      <c r="D561" s="801" t="s">
        <v>967</v>
      </c>
      <c r="E561" s="801"/>
      <c r="F561" s="801"/>
      <c r="G561" s="801"/>
      <c r="H561" s="801"/>
      <c r="I561" s="801"/>
      <c r="J561" s="801"/>
      <c r="K561" s="801"/>
      <c r="L561" s="801"/>
      <c r="M561" s="801"/>
      <c r="N561" s="801"/>
      <c r="O561" s="801"/>
      <c r="P561" s="801"/>
      <c r="Q561" s="801"/>
      <c r="R561" s="801"/>
      <c r="S561" s="801"/>
      <c r="T561" s="801"/>
      <c r="U561" s="801"/>
      <c r="V561" s="801"/>
      <c r="W561" s="801"/>
      <c r="X561" s="801"/>
      <c r="Y561" s="801"/>
    </row>
    <row r="562" spans="4:25" s="448" customFormat="1" ht="39.75" customHeight="1">
      <c r="D562" s="801" t="s">
        <v>968</v>
      </c>
      <c r="E562" s="801"/>
      <c r="F562" s="801"/>
      <c r="G562" s="801"/>
      <c r="H562" s="801"/>
      <c r="I562" s="801"/>
      <c r="J562" s="801"/>
      <c r="K562" s="801"/>
      <c r="L562" s="801"/>
      <c r="M562" s="801"/>
      <c r="N562" s="801"/>
      <c r="O562" s="801"/>
      <c r="P562" s="801"/>
      <c r="Q562" s="801"/>
      <c r="R562" s="801"/>
      <c r="S562" s="801"/>
      <c r="T562" s="801"/>
      <c r="U562" s="801"/>
      <c r="V562" s="801"/>
      <c r="W562" s="801"/>
      <c r="X562" s="801"/>
      <c r="Y562" s="801"/>
    </row>
    <row r="563" spans="4:25" s="448" customFormat="1" ht="39.75" customHeight="1">
      <c r="D563" s="801" t="s">
        <v>969</v>
      </c>
      <c r="E563" s="801"/>
      <c r="F563" s="801"/>
      <c r="G563" s="801"/>
      <c r="H563" s="801"/>
      <c r="I563" s="801"/>
      <c r="J563" s="801"/>
      <c r="K563" s="801"/>
      <c r="L563" s="801"/>
      <c r="M563" s="801"/>
      <c r="N563" s="801"/>
      <c r="O563" s="801"/>
      <c r="P563" s="801"/>
      <c r="Q563" s="801"/>
      <c r="R563" s="801"/>
      <c r="S563" s="801"/>
      <c r="T563" s="801"/>
      <c r="U563" s="801"/>
      <c r="V563" s="801"/>
      <c r="W563" s="801"/>
      <c r="X563" s="801"/>
      <c r="Y563" s="801"/>
    </row>
    <row r="564" spans="4:25" s="448" customFormat="1" ht="39.75" customHeight="1">
      <c r="D564" s="801" t="s">
        <v>970</v>
      </c>
      <c r="E564" s="801"/>
      <c r="F564" s="801"/>
      <c r="G564" s="801"/>
      <c r="H564" s="801"/>
      <c r="I564" s="801"/>
      <c r="J564" s="801"/>
      <c r="K564" s="801"/>
      <c r="L564" s="801"/>
      <c r="M564" s="801"/>
      <c r="N564" s="801"/>
      <c r="O564" s="801"/>
      <c r="P564" s="801"/>
      <c r="Q564" s="801"/>
      <c r="R564" s="801"/>
      <c r="S564" s="801"/>
      <c r="T564" s="801"/>
      <c r="U564" s="801"/>
      <c r="V564" s="801"/>
      <c r="W564" s="801"/>
      <c r="X564" s="801"/>
      <c r="Y564" s="801"/>
    </row>
    <row r="565" spans="4:25">
      <c r="D565" s="801"/>
      <c r="E565" s="801"/>
      <c r="F565" s="801"/>
      <c r="G565" s="801"/>
      <c r="H565" s="801"/>
      <c r="I565" s="801"/>
      <c r="J565" s="801"/>
      <c r="K565" s="801"/>
      <c r="L565" s="801"/>
      <c r="M565" s="801"/>
      <c r="N565" s="801"/>
      <c r="O565" s="801"/>
      <c r="P565" s="801"/>
      <c r="Q565" s="801"/>
      <c r="R565" s="801"/>
      <c r="S565" s="801"/>
      <c r="T565" s="801"/>
      <c r="U565" s="801"/>
      <c r="V565" s="801"/>
      <c r="W565" s="801"/>
      <c r="X565" s="801"/>
      <c r="Y565" s="801"/>
    </row>
    <row r="566" spans="4:25" ht="24.75" customHeight="1">
      <c r="D566" s="802" t="s">
        <v>971</v>
      </c>
      <c r="E566" s="802"/>
      <c r="F566" s="802"/>
      <c r="G566" s="802"/>
      <c r="H566" s="802"/>
      <c r="I566" s="802"/>
      <c r="J566" s="802"/>
      <c r="K566" s="802"/>
      <c r="L566" s="802"/>
      <c r="M566" s="802"/>
      <c r="N566" s="802"/>
      <c r="O566" s="802"/>
      <c r="P566" s="802"/>
      <c r="Q566" s="802"/>
      <c r="R566" s="802"/>
      <c r="S566" s="802"/>
      <c r="T566" s="802"/>
      <c r="U566" s="802"/>
      <c r="V566" s="802"/>
      <c r="W566" s="802"/>
      <c r="X566" s="802"/>
      <c r="Y566" s="802"/>
    </row>
    <row r="567" spans="4:25" ht="9" customHeight="1">
      <c r="D567" s="801"/>
      <c r="E567" s="801"/>
      <c r="F567" s="801"/>
      <c r="G567" s="801"/>
      <c r="H567" s="801"/>
      <c r="I567" s="801"/>
      <c r="J567" s="801"/>
      <c r="K567" s="801"/>
      <c r="L567" s="801"/>
      <c r="M567" s="801"/>
      <c r="N567" s="801"/>
      <c r="O567" s="801"/>
      <c r="P567" s="801"/>
      <c r="Q567" s="801"/>
      <c r="R567" s="801"/>
      <c r="S567" s="801"/>
      <c r="T567" s="801"/>
      <c r="U567" s="801"/>
      <c r="V567" s="801"/>
      <c r="W567" s="801"/>
      <c r="X567" s="801"/>
      <c r="Y567" s="801"/>
    </row>
    <row r="568" spans="4:25" ht="38.25" customHeight="1">
      <c r="D568" s="801" t="s">
        <v>972</v>
      </c>
      <c r="E568" s="801"/>
      <c r="F568" s="801"/>
      <c r="G568" s="801"/>
      <c r="H568" s="801"/>
      <c r="I568" s="801"/>
      <c r="J568" s="801"/>
      <c r="K568" s="801"/>
      <c r="L568" s="801"/>
      <c r="M568" s="801"/>
      <c r="N568" s="801"/>
      <c r="O568" s="801"/>
      <c r="P568" s="801"/>
      <c r="Q568" s="801"/>
      <c r="R568" s="801"/>
      <c r="S568" s="801"/>
      <c r="T568" s="801"/>
      <c r="U568" s="801"/>
      <c r="V568" s="801"/>
      <c r="W568" s="801"/>
      <c r="X568" s="801"/>
      <c r="Y568" s="801"/>
    </row>
    <row r="569" spans="4:25" ht="38.25" customHeight="1">
      <c r="D569" s="801" t="s">
        <v>973</v>
      </c>
      <c r="E569" s="801"/>
      <c r="F569" s="801"/>
      <c r="G569" s="801"/>
      <c r="H569" s="801"/>
      <c r="I569" s="801"/>
      <c r="J569" s="801"/>
      <c r="K569" s="801"/>
      <c r="L569" s="801"/>
      <c r="M569" s="801"/>
      <c r="N569" s="801"/>
      <c r="O569" s="801"/>
      <c r="P569" s="801"/>
      <c r="Q569" s="801"/>
      <c r="R569" s="801"/>
      <c r="S569" s="801"/>
      <c r="T569" s="801"/>
      <c r="U569" s="801"/>
      <c r="V569" s="801"/>
      <c r="W569" s="801"/>
      <c r="X569" s="801"/>
      <c r="Y569" s="801"/>
    </row>
    <row r="570" spans="4:25" ht="38.25" customHeight="1">
      <c r="D570" s="801" t="s">
        <v>974</v>
      </c>
      <c r="E570" s="801"/>
      <c r="F570" s="801"/>
      <c r="G570" s="801"/>
      <c r="H570" s="801"/>
      <c r="I570" s="801"/>
      <c r="J570" s="801"/>
      <c r="K570" s="801"/>
      <c r="L570" s="801"/>
      <c r="M570" s="801"/>
      <c r="N570" s="801"/>
      <c r="O570" s="801"/>
      <c r="P570" s="801"/>
      <c r="Q570" s="801"/>
      <c r="R570" s="801"/>
      <c r="S570" s="801"/>
      <c r="T570" s="801"/>
      <c r="U570" s="801"/>
      <c r="V570" s="801"/>
      <c r="W570" s="801"/>
      <c r="X570" s="801"/>
      <c r="Y570" s="801"/>
    </row>
    <row r="571" spans="4:25" ht="38.25" customHeight="1">
      <c r="D571" s="801" t="s">
        <v>975</v>
      </c>
      <c r="E571" s="801"/>
      <c r="F571" s="801"/>
      <c r="G571" s="801"/>
      <c r="H571" s="801"/>
      <c r="I571" s="801"/>
      <c r="J571" s="801"/>
      <c r="K571" s="801"/>
      <c r="L571" s="801"/>
      <c r="M571" s="801"/>
      <c r="N571" s="801"/>
      <c r="O571" s="801"/>
      <c r="P571" s="801"/>
      <c r="Q571" s="801"/>
      <c r="R571" s="801"/>
      <c r="S571" s="801"/>
      <c r="T571" s="801"/>
      <c r="U571" s="801"/>
      <c r="V571" s="801"/>
      <c r="W571" s="801"/>
      <c r="X571" s="801"/>
      <c r="Y571" s="801"/>
    </row>
    <row r="572" spans="4:25" ht="47.25" customHeight="1">
      <c r="D572" s="801" t="s">
        <v>976</v>
      </c>
      <c r="E572" s="801"/>
      <c r="F572" s="801"/>
      <c r="G572" s="801"/>
      <c r="H572" s="801"/>
      <c r="I572" s="801"/>
      <c r="J572" s="801"/>
      <c r="K572" s="801"/>
      <c r="L572" s="801"/>
      <c r="M572" s="801"/>
      <c r="N572" s="801"/>
      <c r="O572" s="801"/>
      <c r="P572" s="801"/>
      <c r="Q572" s="801"/>
      <c r="R572" s="801"/>
      <c r="S572" s="801"/>
      <c r="T572" s="801"/>
      <c r="U572" s="801"/>
      <c r="V572" s="801"/>
      <c r="W572" s="801"/>
      <c r="X572" s="801"/>
      <c r="Y572" s="801"/>
    </row>
    <row r="573" spans="4:25" ht="21" customHeight="1">
      <c r="D573" s="458"/>
      <c r="E573" s="458"/>
      <c r="F573" s="458"/>
      <c r="G573" s="458"/>
      <c r="H573" s="458"/>
      <c r="I573" s="458"/>
      <c r="J573" s="458"/>
      <c r="K573" s="458"/>
      <c r="L573" s="458"/>
      <c r="M573" s="458"/>
      <c r="N573" s="458"/>
      <c r="O573" s="458"/>
      <c r="P573" s="458"/>
      <c r="Q573" s="458"/>
      <c r="R573" s="458"/>
      <c r="S573" s="458"/>
      <c r="T573" s="458"/>
      <c r="U573" s="458"/>
      <c r="V573" s="458"/>
      <c r="W573" s="458"/>
      <c r="X573" s="458"/>
      <c r="Y573" s="458"/>
    </row>
    <row r="574" spans="4:25">
      <c r="D574" s="801"/>
      <c r="E574" s="801"/>
      <c r="F574" s="801"/>
      <c r="G574" s="801"/>
      <c r="H574" s="801"/>
      <c r="I574" s="801"/>
      <c r="J574" s="801"/>
      <c r="K574" s="801"/>
      <c r="L574" s="801"/>
      <c r="M574" s="801"/>
      <c r="N574" s="801"/>
      <c r="O574" s="801"/>
      <c r="P574" s="801"/>
      <c r="Q574" s="801"/>
      <c r="R574" s="801"/>
      <c r="S574" s="801"/>
      <c r="T574" s="801"/>
      <c r="U574" s="801"/>
      <c r="V574" s="801"/>
      <c r="W574" s="801"/>
      <c r="X574" s="801"/>
      <c r="Y574" s="801"/>
    </row>
    <row r="575" spans="4:25" ht="19.5" customHeight="1">
      <c r="D575" s="802" t="s">
        <v>977</v>
      </c>
      <c r="E575" s="802"/>
      <c r="F575" s="802"/>
      <c r="G575" s="802"/>
      <c r="H575" s="802"/>
      <c r="I575" s="802"/>
      <c r="J575" s="802"/>
      <c r="K575" s="802"/>
      <c r="L575" s="802"/>
      <c r="M575" s="802"/>
      <c r="N575" s="802"/>
      <c r="O575" s="802"/>
      <c r="P575" s="802"/>
      <c r="Q575" s="802"/>
      <c r="R575" s="802"/>
      <c r="S575" s="802"/>
      <c r="T575" s="802"/>
      <c r="U575" s="802"/>
      <c r="V575" s="802"/>
      <c r="W575" s="802"/>
      <c r="X575" s="802"/>
      <c r="Y575" s="802"/>
    </row>
    <row r="576" spans="4:25" ht="22.5" customHeight="1">
      <c r="D576" s="801" t="s">
        <v>978</v>
      </c>
      <c r="E576" s="801"/>
      <c r="F576" s="801"/>
      <c r="G576" s="801"/>
      <c r="H576" s="801"/>
      <c r="I576" s="801"/>
      <c r="J576" s="801"/>
      <c r="K576" s="801"/>
      <c r="L576" s="801"/>
      <c r="M576" s="801"/>
      <c r="N576" s="801"/>
      <c r="O576" s="801"/>
      <c r="P576" s="801"/>
      <c r="Q576" s="801"/>
      <c r="R576" s="801"/>
      <c r="S576" s="801"/>
      <c r="T576" s="801"/>
      <c r="U576" s="801"/>
      <c r="V576" s="801"/>
      <c r="W576" s="801"/>
      <c r="X576" s="801"/>
      <c r="Y576" s="801"/>
    </row>
    <row r="577" spans="4:25" ht="22.5" customHeight="1">
      <c r="D577" s="801" t="s">
        <v>979</v>
      </c>
      <c r="E577" s="801"/>
      <c r="F577" s="801"/>
      <c r="G577" s="801"/>
      <c r="H577" s="801"/>
      <c r="I577" s="801"/>
      <c r="J577" s="801"/>
      <c r="K577" s="801"/>
      <c r="L577" s="801"/>
      <c r="M577" s="801"/>
      <c r="N577" s="801"/>
      <c r="O577" s="801"/>
      <c r="P577" s="801"/>
      <c r="Q577" s="801"/>
      <c r="R577" s="801"/>
      <c r="S577" s="801"/>
      <c r="T577" s="801"/>
      <c r="U577" s="801"/>
      <c r="V577" s="801"/>
      <c r="W577" s="801"/>
      <c r="X577" s="801"/>
      <c r="Y577" s="801"/>
    </row>
    <row r="578" spans="4:25" ht="36" customHeight="1">
      <c r="D578" s="801" t="s">
        <v>980</v>
      </c>
      <c r="E578" s="801"/>
      <c r="F578" s="801"/>
      <c r="G578" s="801"/>
      <c r="H578" s="801"/>
      <c r="I578" s="801"/>
      <c r="J578" s="801"/>
      <c r="K578" s="801"/>
      <c r="L578" s="801"/>
      <c r="M578" s="801"/>
      <c r="N578" s="801"/>
      <c r="O578" s="801"/>
      <c r="P578" s="801"/>
      <c r="Q578" s="801"/>
      <c r="R578" s="801"/>
      <c r="S578" s="801"/>
      <c r="T578" s="801"/>
      <c r="U578" s="801"/>
      <c r="V578" s="801"/>
      <c r="W578" s="801"/>
      <c r="X578" s="801"/>
      <c r="Y578" s="801"/>
    </row>
    <row r="579" spans="4:25" ht="22.5" customHeight="1">
      <c r="D579" t="s">
        <v>981</v>
      </c>
    </row>
    <row r="580" spans="4:25" ht="22.5" customHeight="1">
      <c r="D580" t="s">
        <v>982</v>
      </c>
    </row>
    <row r="581" spans="4:25" ht="22.5" customHeight="1">
      <c r="D581" t="s">
        <v>983</v>
      </c>
    </row>
    <row r="584" spans="4:25" ht="21" customHeight="1">
      <c r="D584" s="819" t="s">
        <v>984</v>
      </c>
      <c r="E584" s="820"/>
      <c r="F584" s="820"/>
      <c r="G584" s="820"/>
      <c r="H584" s="820"/>
      <c r="I584" s="820"/>
      <c r="J584" s="820"/>
      <c r="K584" s="820"/>
      <c r="L584" s="820"/>
      <c r="M584" s="820"/>
      <c r="N584" s="820"/>
      <c r="O584" s="820"/>
      <c r="P584" s="820"/>
      <c r="Q584" s="820"/>
      <c r="R584" s="820"/>
      <c r="S584" s="820"/>
      <c r="T584" s="820"/>
      <c r="U584" s="820"/>
      <c r="V584" s="820"/>
      <c r="W584" s="820"/>
      <c r="X584" s="820"/>
      <c r="Y584" s="820"/>
    </row>
    <row r="586" spans="4:25" ht="33.75" customHeight="1">
      <c r="D586" s="476" t="s">
        <v>881</v>
      </c>
      <c r="E586" s="871" t="s">
        <v>988</v>
      </c>
      <c r="F586" s="872"/>
      <c r="G586" s="872"/>
      <c r="H586" s="872"/>
      <c r="I586" s="872"/>
      <c r="J586" s="872"/>
      <c r="K586" s="871" t="s">
        <v>849</v>
      </c>
      <c r="L586" s="872"/>
      <c r="M586" s="872"/>
      <c r="N586" s="872"/>
      <c r="O586" s="872"/>
      <c r="P586" s="873"/>
      <c r="Q586" s="845" t="s">
        <v>987</v>
      </c>
      <c r="R586" s="845"/>
      <c r="S586" s="845"/>
      <c r="T586" s="845" t="s">
        <v>986</v>
      </c>
      <c r="U586" s="845"/>
      <c r="V586" s="845"/>
      <c r="W586" s="845" t="s">
        <v>985</v>
      </c>
      <c r="X586" s="845"/>
      <c r="Y586" s="845"/>
    </row>
    <row r="587" spans="4:25" ht="83.25" customHeight="1">
      <c r="D587" s="478">
        <v>1</v>
      </c>
      <c r="E587" s="988" t="s">
        <v>989</v>
      </c>
      <c r="F587" s="989"/>
      <c r="G587" s="989"/>
      <c r="H587" s="989"/>
      <c r="I587" s="989"/>
      <c r="J587" s="989"/>
      <c r="K587" s="1015" t="s">
        <v>994</v>
      </c>
      <c r="L587" s="1016"/>
      <c r="M587" s="1016" t="s">
        <v>994</v>
      </c>
      <c r="N587" s="1016"/>
      <c r="O587" s="1016"/>
      <c r="P587" s="1017"/>
      <c r="Q587" s="808">
        <v>9822508968</v>
      </c>
      <c r="R587" s="808"/>
      <c r="S587" s="808"/>
      <c r="T587" s="805" t="s">
        <v>1544</v>
      </c>
      <c r="U587" s="804"/>
      <c r="V587" s="804"/>
      <c r="W587" s="804" t="s">
        <v>1522</v>
      </c>
      <c r="X587" s="804"/>
      <c r="Y587" s="804"/>
    </row>
    <row r="588" spans="4:25" ht="83.25" customHeight="1">
      <c r="D588" s="478">
        <v>2</v>
      </c>
      <c r="E588" s="988" t="s">
        <v>990</v>
      </c>
      <c r="F588" s="989"/>
      <c r="G588" s="989"/>
      <c r="H588" s="989"/>
      <c r="I588" s="989"/>
      <c r="J588" s="989"/>
      <c r="K588" s="1015" t="s">
        <v>994</v>
      </c>
      <c r="L588" s="1016"/>
      <c r="M588" s="1016" t="s">
        <v>994</v>
      </c>
      <c r="N588" s="1016"/>
      <c r="O588" s="1016"/>
      <c r="P588" s="1017"/>
      <c r="Q588" s="804">
        <v>9011065021</v>
      </c>
      <c r="R588" s="804"/>
      <c r="S588" s="804"/>
      <c r="T588" s="805" t="s">
        <v>1545</v>
      </c>
      <c r="U588" s="804"/>
      <c r="V588" s="804"/>
      <c r="W588" s="804" t="s">
        <v>1523</v>
      </c>
      <c r="X588" s="804"/>
      <c r="Y588" s="804"/>
    </row>
    <row r="589" spans="4:25" ht="83.25" customHeight="1">
      <c r="D589" s="478">
        <v>3</v>
      </c>
      <c r="E589" s="988" t="s">
        <v>991</v>
      </c>
      <c r="F589" s="989"/>
      <c r="G589" s="989"/>
      <c r="H589" s="989"/>
      <c r="I589" s="989"/>
      <c r="J589" s="989"/>
      <c r="K589" s="1015"/>
      <c r="L589" s="1016"/>
      <c r="M589" s="1016"/>
      <c r="N589" s="1016"/>
      <c r="O589" s="1016"/>
      <c r="P589" s="1017"/>
      <c r="Q589" s="804">
        <v>8408963151</v>
      </c>
      <c r="R589" s="804"/>
      <c r="S589" s="804"/>
      <c r="T589" s="1018" t="s">
        <v>1524</v>
      </c>
      <c r="U589" s="804"/>
      <c r="V589" s="804"/>
      <c r="W589" s="804" t="s">
        <v>1525</v>
      </c>
      <c r="X589" s="804"/>
      <c r="Y589" s="804"/>
    </row>
    <row r="590" spans="4:25" ht="83.25" customHeight="1">
      <c r="D590" s="478">
        <v>4</v>
      </c>
      <c r="E590" s="988" t="s">
        <v>992</v>
      </c>
      <c r="F590" s="989"/>
      <c r="G590" s="989"/>
      <c r="H590" s="989"/>
      <c r="I590" s="989"/>
      <c r="J590" s="989"/>
      <c r="K590" s="1015" t="s">
        <v>994</v>
      </c>
      <c r="L590" s="1016"/>
      <c r="M590" s="1016" t="s">
        <v>994</v>
      </c>
      <c r="N590" s="1016"/>
      <c r="O590" s="1016"/>
      <c r="P590" s="1017"/>
      <c r="Q590" s="804" t="s">
        <v>1521</v>
      </c>
      <c r="R590" s="804"/>
      <c r="S590" s="804"/>
      <c r="T590" s="804"/>
      <c r="U590" s="804"/>
      <c r="V590" s="804"/>
      <c r="W590" s="804"/>
      <c r="X590" s="804"/>
      <c r="Y590" s="804"/>
    </row>
    <row r="591" spans="4:25" ht="83.25" customHeight="1">
      <c r="D591" s="478">
        <v>5</v>
      </c>
      <c r="E591" s="988" t="s">
        <v>993</v>
      </c>
      <c r="F591" s="989"/>
      <c r="G591" s="989"/>
      <c r="H591" s="989"/>
      <c r="I591" s="989"/>
      <c r="J591" s="989"/>
      <c r="K591" s="1015" t="s">
        <v>995</v>
      </c>
      <c r="L591" s="1016"/>
      <c r="M591" s="1016" t="s">
        <v>995</v>
      </c>
      <c r="N591" s="1016"/>
      <c r="O591" s="1016"/>
      <c r="P591" s="1017"/>
      <c r="Q591" s="804">
        <v>9527248426</v>
      </c>
      <c r="R591" s="804"/>
      <c r="S591" s="804"/>
      <c r="T591" s="804"/>
      <c r="U591" s="804"/>
      <c r="V591" s="804"/>
      <c r="W591" s="804"/>
      <c r="X591" s="804"/>
      <c r="Y591" s="804"/>
    </row>
    <row r="592" spans="4:25" ht="30" customHeight="1"/>
    <row r="593" spans="4:25" ht="23.25" customHeight="1"/>
    <row r="594" spans="4:25" ht="18.75">
      <c r="D594" s="502" t="s">
        <v>996</v>
      </c>
    </row>
    <row r="596" spans="4:25" ht="21.75" customHeight="1">
      <c r="D596" s="5" t="s">
        <v>1482</v>
      </c>
    </row>
    <row r="601" spans="4:25" ht="21.75" customHeight="1">
      <c r="D601" s="1019" t="s">
        <v>1483</v>
      </c>
      <c r="E601" s="1019"/>
      <c r="F601" s="1019"/>
      <c r="G601" s="1019"/>
      <c r="H601" s="1019"/>
      <c r="I601" s="1019"/>
      <c r="J601" s="1019"/>
      <c r="K601" s="1019"/>
      <c r="L601" s="1019"/>
      <c r="M601" s="1019"/>
      <c r="N601" s="1019"/>
      <c r="O601" s="1019"/>
      <c r="P601" s="1019"/>
      <c r="Q601" s="1019"/>
      <c r="R601" s="1019"/>
      <c r="S601" s="1019"/>
      <c r="T601" s="1019"/>
      <c r="U601" s="1019"/>
      <c r="V601" s="1019"/>
      <c r="W601" s="1019"/>
      <c r="X601" s="1019"/>
      <c r="Y601" s="1019"/>
    </row>
    <row r="602" spans="4:25" ht="10.5" customHeight="1">
      <c r="D602" s="481"/>
      <c r="E602" s="481"/>
      <c r="F602" s="481"/>
      <c r="G602" s="481"/>
      <c r="H602" s="481"/>
      <c r="I602" s="481"/>
      <c r="J602" s="481"/>
      <c r="K602" s="481"/>
      <c r="L602" s="481"/>
      <c r="M602" s="481"/>
      <c r="N602" s="481"/>
      <c r="O602" s="481"/>
      <c r="P602" s="481"/>
      <c r="Q602" s="481"/>
      <c r="R602" s="481"/>
      <c r="S602" s="481"/>
      <c r="T602" s="481"/>
      <c r="U602" s="481"/>
      <c r="V602" s="481"/>
      <c r="W602" s="481"/>
      <c r="X602" s="481"/>
      <c r="Y602" s="481"/>
    </row>
    <row r="603" spans="4:25" ht="21.75" customHeight="1">
      <c r="D603" s="1019" t="s">
        <v>997</v>
      </c>
      <c r="E603" s="1019"/>
      <c r="F603" s="1019"/>
      <c r="G603" s="1019"/>
      <c r="H603" s="1019"/>
      <c r="I603" s="1019"/>
      <c r="J603" s="1019"/>
      <c r="K603" s="1019"/>
      <c r="L603" s="1019"/>
      <c r="M603" s="1019"/>
      <c r="N603" s="1019"/>
      <c r="O603" s="1019"/>
      <c r="P603" s="1019"/>
      <c r="Q603" s="1019"/>
      <c r="R603" s="1019"/>
      <c r="S603" s="1019"/>
      <c r="T603" s="1019"/>
      <c r="U603" s="1019"/>
      <c r="V603" s="1019"/>
      <c r="W603" s="1019"/>
      <c r="X603" s="1019"/>
      <c r="Y603" s="1019"/>
    </row>
    <row r="604" spans="4:25" ht="21.75" customHeight="1">
      <c r="D604" s="1019" t="s">
        <v>998</v>
      </c>
      <c r="E604" s="1019"/>
      <c r="F604" s="1019"/>
      <c r="G604" s="1019"/>
      <c r="H604" s="1019"/>
      <c r="I604" s="1019"/>
      <c r="J604" s="1019"/>
      <c r="K604" s="1019"/>
      <c r="L604" s="1019"/>
      <c r="M604" s="1019"/>
      <c r="N604" s="1019"/>
      <c r="O604" s="1019"/>
      <c r="P604" s="1019"/>
      <c r="Q604" s="1019"/>
      <c r="R604" s="1019"/>
      <c r="S604" s="1019"/>
      <c r="T604" s="1019"/>
      <c r="U604" s="1019"/>
      <c r="V604" s="1019"/>
      <c r="W604" s="1019"/>
      <c r="X604" s="1019"/>
      <c r="Y604" s="1019"/>
    </row>
    <row r="605" spans="4:25" ht="21.75" customHeight="1">
      <c r="D605" s="1019" t="s">
        <v>999</v>
      </c>
      <c r="E605" s="1019"/>
      <c r="F605" s="1019"/>
      <c r="G605" s="1019"/>
      <c r="H605" s="1019"/>
      <c r="I605" s="1019"/>
      <c r="J605" s="1019"/>
      <c r="K605" s="1019"/>
      <c r="L605" s="1019"/>
      <c r="M605" s="1019"/>
      <c r="N605" s="1019"/>
      <c r="O605" s="1019"/>
      <c r="P605" s="1019"/>
      <c r="Q605" s="1019"/>
      <c r="R605" s="1019"/>
      <c r="S605" s="1019"/>
      <c r="T605" s="1019"/>
      <c r="U605" s="1019"/>
      <c r="V605" s="1019"/>
      <c r="W605" s="1019"/>
      <c r="X605" s="1019"/>
      <c r="Y605" s="1019"/>
    </row>
    <row r="606" spans="4:25" ht="21.75" customHeight="1">
      <c r="D606" s="481"/>
      <c r="E606" s="481"/>
      <c r="F606" s="481"/>
      <c r="G606" s="481"/>
      <c r="H606" s="481"/>
      <c r="I606" s="481"/>
      <c r="J606" s="481"/>
      <c r="K606" s="481"/>
      <c r="L606" s="481"/>
      <c r="M606" s="481"/>
      <c r="N606" s="481"/>
      <c r="O606" s="481"/>
      <c r="P606" s="481"/>
      <c r="Q606" s="481"/>
      <c r="R606" s="481"/>
      <c r="S606" s="481"/>
      <c r="T606" s="481"/>
      <c r="U606" s="481"/>
      <c r="V606" s="481"/>
      <c r="W606" s="481"/>
      <c r="X606" s="481"/>
      <c r="Y606" s="481"/>
    </row>
    <row r="607" spans="4:25" ht="17.25">
      <c r="D607" s="1019" t="s">
        <v>1484</v>
      </c>
      <c r="E607" s="1019"/>
      <c r="F607" s="1019"/>
      <c r="G607" s="1019"/>
      <c r="H607" s="1019"/>
      <c r="I607" s="1019"/>
      <c r="J607" s="1019"/>
      <c r="K607" s="1019"/>
      <c r="L607" s="1019"/>
      <c r="M607" s="1019"/>
      <c r="N607" s="1019"/>
      <c r="O607" s="1019"/>
      <c r="P607" s="1019"/>
      <c r="Q607" s="1019"/>
      <c r="R607" s="1019"/>
      <c r="S607" s="1019"/>
      <c r="T607" s="1019"/>
      <c r="U607" s="1019"/>
      <c r="V607" s="1019"/>
      <c r="W607" s="1019"/>
      <c r="X607" s="1019"/>
      <c r="Y607" s="1019"/>
    </row>
    <row r="608" spans="4:25" ht="16.5">
      <c r="D608" s="481"/>
      <c r="E608" s="481"/>
      <c r="F608" s="481"/>
      <c r="G608" s="481"/>
      <c r="H608" s="481"/>
      <c r="I608" s="481"/>
      <c r="J608" s="481"/>
      <c r="K608" s="481"/>
      <c r="L608" s="481"/>
      <c r="M608" s="481"/>
      <c r="N608" s="481"/>
      <c r="O608" s="481"/>
      <c r="P608" s="481"/>
      <c r="Q608" s="481"/>
      <c r="R608" s="481"/>
      <c r="S608" s="481"/>
      <c r="T608" s="481"/>
      <c r="U608" s="481"/>
      <c r="V608" s="481"/>
      <c r="W608" s="481"/>
      <c r="X608" s="481"/>
      <c r="Y608" s="481"/>
    </row>
    <row r="609" spans="4:25" ht="16.5">
      <c r="D609" s="1019" t="s">
        <v>1555</v>
      </c>
      <c r="E609" s="1019"/>
      <c r="F609" s="1019"/>
      <c r="G609" s="1019"/>
      <c r="H609" s="1019"/>
      <c r="I609" s="1019"/>
      <c r="J609" s="1019"/>
      <c r="K609" s="1019"/>
      <c r="L609" s="1019"/>
      <c r="M609" s="1019"/>
      <c r="N609" s="1019"/>
      <c r="O609" s="1019"/>
      <c r="P609" s="1019"/>
      <c r="Q609" s="1019"/>
      <c r="R609" s="1019"/>
      <c r="S609" s="1019"/>
      <c r="T609" s="1019"/>
      <c r="U609" s="1019"/>
      <c r="V609" s="1019"/>
      <c r="W609" s="1019"/>
      <c r="X609" s="1019"/>
      <c r="Y609" s="1019"/>
    </row>
    <row r="610" spans="4:25" ht="48.75" customHeight="1">
      <c r="D610" s="961" t="s">
        <v>1556</v>
      </c>
      <c r="E610" s="961"/>
      <c r="F610" s="961"/>
      <c r="G610" s="961"/>
      <c r="H610" s="961"/>
      <c r="I610" s="961"/>
      <c r="J610" s="961"/>
      <c r="K610" s="961"/>
      <c r="L610" s="961"/>
      <c r="M610" s="961"/>
      <c r="N610" s="961"/>
      <c r="O610" s="961"/>
      <c r="P610" s="961"/>
      <c r="Q610" s="961"/>
      <c r="R610" s="961"/>
      <c r="S610" s="961"/>
      <c r="T610" s="961"/>
      <c r="U610" s="961"/>
      <c r="V610" s="961"/>
      <c r="W610" s="961"/>
      <c r="X610" s="961"/>
      <c r="Y610" s="961"/>
    </row>
    <row r="611" spans="4:25" ht="22.5" customHeight="1">
      <c r="D611" s="481" t="s">
        <v>1557</v>
      </c>
      <c r="E611" s="481"/>
      <c r="F611" s="481"/>
      <c r="G611" s="481"/>
      <c r="H611" s="481"/>
      <c r="I611" s="481"/>
      <c r="J611" s="481"/>
      <c r="K611" s="481"/>
      <c r="L611" s="481"/>
      <c r="M611" s="481"/>
      <c r="N611" s="481"/>
      <c r="O611" s="481"/>
      <c r="P611" s="481"/>
      <c r="Q611" s="481"/>
      <c r="R611" s="481"/>
      <c r="S611" s="481"/>
      <c r="T611" s="481"/>
      <c r="U611" s="481"/>
      <c r="V611" s="481"/>
      <c r="W611" s="481"/>
      <c r="X611" s="481"/>
      <c r="Y611" s="481"/>
    </row>
    <row r="612" spans="4:25" ht="22.5" customHeight="1">
      <c r="D612" s="1019" t="s">
        <v>1558</v>
      </c>
      <c r="E612" s="1019"/>
      <c r="F612" s="1019"/>
      <c r="G612" s="1019"/>
      <c r="H612" s="1019"/>
      <c r="I612" s="1019"/>
      <c r="J612" s="1019"/>
      <c r="K612" s="1019"/>
      <c r="L612" s="1019"/>
      <c r="M612" s="1019"/>
      <c r="N612" s="1019"/>
      <c r="O612" s="1019"/>
      <c r="P612" s="1019"/>
      <c r="Q612" s="1019"/>
      <c r="R612" s="1019"/>
      <c r="S612" s="1019"/>
      <c r="T612" s="1019"/>
      <c r="U612" s="1019"/>
      <c r="V612" s="1019"/>
      <c r="W612" s="1019"/>
      <c r="X612" s="1019"/>
      <c r="Y612" s="1019"/>
    </row>
    <row r="613" spans="4:25" ht="22.5" customHeight="1">
      <c r="D613" s="1019" t="s">
        <v>1559</v>
      </c>
      <c r="E613" s="1019"/>
      <c r="F613" s="1019"/>
      <c r="G613" s="1019"/>
      <c r="H613" s="1019"/>
      <c r="I613" s="1019"/>
      <c r="J613" s="1019"/>
      <c r="K613" s="1019"/>
      <c r="L613" s="1019"/>
      <c r="M613" s="1019"/>
      <c r="N613" s="1019"/>
      <c r="O613" s="1019"/>
      <c r="P613" s="1019"/>
      <c r="Q613" s="1019"/>
      <c r="R613" s="1019"/>
      <c r="S613" s="1019"/>
      <c r="T613" s="1019"/>
      <c r="U613" s="1019"/>
      <c r="V613" s="1019"/>
      <c r="W613" s="1019"/>
      <c r="X613" s="1019"/>
      <c r="Y613" s="1019"/>
    </row>
    <row r="614" spans="4:25" ht="39.75" customHeight="1">
      <c r="D614" s="961" t="s">
        <v>1485</v>
      </c>
      <c r="E614" s="961"/>
      <c r="F614" s="961"/>
      <c r="G614" s="961"/>
      <c r="H614" s="961"/>
      <c r="I614" s="961"/>
      <c r="J614" s="961"/>
      <c r="K614" s="961"/>
      <c r="L614" s="961"/>
      <c r="M614" s="961"/>
      <c r="N614" s="961"/>
      <c r="O614" s="961"/>
      <c r="P614" s="961"/>
      <c r="Q614" s="961"/>
      <c r="R614" s="961"/>
      <c r="S614" s="961"/>
      <c r="T614" s="961"/>
      <c r="U614" s="961"/>
      <c r="V614" s="961"/>
      <c r="W614" s="961"/>
      <c r="X614" s="961"/>
      <c r="Y614" s="961"/>
    </row>
    <row r="615" spans="4:25" ht="16.5">
      <c r="D615" s="1019"/>
      <c r="E615" s="1019"/>
      <c r="F615" s="1019"/>
      <c r="G615" s="1019"/>
      <c r="H615" s="1019"/>
      <c r="I615" s="1019"/>
      <c r="J615" s="1019"/>
      <c r="K615" s="1019"/>
      <c r="L615" s="1019"/>
      <c r="M615" s="1019"/>
      <c r="N615" s="1019"/>
      <c r="O615" s="1019"/>
      <c r="P615" s="1019"/>
      <c r="Q615" s="1019"/>
      <c r="R615" s="1019"/>
      <c r="S615" s="1019"/>
      <c r="T615" s="1019"/>
      <c r="U615" s="1019"/>
      <c r="V615" s="1019"/>
      <c r="W615" s="1019"/>
      <c r="X615" s="1019"/>
      <c r="Y615" s="1019"/>
    </row>
    <row r="616" spans="4:25" ht="23.25" customHeight="1">
      <c r="D616" s="1019" t="s">
        <v>1000</v>
      </c>
      <c r="E616" s="1019"/>
      <c r="F616" s="1019"/>
      <c r="G616" s="1019"/>
      <c r="H616" s="1019"/>
      <c r="I616" s="1019"/>
      <c r="J616" s="1019"/>
      <c r="K616" s="1019"/>
      <c r="L616" s="1019"/>
      <c r="M616" s="1019"/>
      <c r="N616" s="1019"/>
      <c r="O616" s="1019"/>
      <c r="P616" s="1019"/>
      <c r="Q616" s="1019"/>
      <c r="R616" s="1019"/>
      <c r="S616" s="1019"/>
      <c r="T616" s="1019"/>
      <c r="U616" s="1019"/>
      <c r="V616" s="1019"/>
      <c r="W616" s="1019"/>
      <c r="X616" s="1019"/>
      <c r="Y616" s="1019"/>
    </row>
    <row r="617" spans="4:25" ht="23.25" customHeight="1">
      <c r="D617" s="1019" t="s">
        <v>1001</v>
      </c>
      <c r="E617" s="1019"/>
      <c r="F617" s="1019"/>
      <c r="G617" s="1019"/>
      <c r="H617" s="1019"/>
      <c r="I617" s="1019"/>
      <c r="J617" s="1019"/>
      <c r="K617" s="1019"/>
      <c r="L617" s="1019"/>
      <c r="M617" s="1019"/>
      <c r="N617" s="1019"/>
      <c r="O617" s="1019"/>
      <c r="P617" s="1019"/>
      <c r="Q617" s="1019"/>
      <c r="R617" s="1019"/>
      <c r="S617" s="1019"/>
      <c r="T617" s="1019"/>
      <c r="U617" s="1019"/>
      <c r="V617" s="1019"/>
      <c r="W617" s="1019"/>
      <c r="X617" s="1019"/>
      <c r="Y617" s="1019"/>
    </row>
    <row r="618" spans="4:25" ht="23.25" customHeight="1">
      <c r="D618" s="1019" t="s">
        <v>1002</v>
      </c>
      <c r="E618" s="1019"/>
      <c r="F618" s="1019"/>
      <c r="G618" s="1019"/>
      <c r="H618" s="1019"/>
      <c r="I618" s="1019"/>
      <c r="J618" s="1019"/>
      <c r="K618" s="1019"/>
      <c r="L618" s="1019"/>
      <c r="M618" s="1019"/>
      <c r="N618" s="1019"/>
      <c r="O618" s="1019"/>
      <c r="P618" s="1019"/>
      <c r="Q618" s="1019"/>
      <c r="R618" s="1019"/>
      <c r="S618" s="1019"/>
      <c r="T618" s="1019"/>
      <c r="U618" s="1019"/>
      <c r="V618" s="1019"/>
      <c r="W618" s="1019"/>
      <c r="X618" s="1019"/>
      <c r="Y618" s="1019"/>
    </row>
    <row r="619" spans="4:25" ht="23.25" customHeight="1">
      <c r="D619" s="1019" t="s">
        <v>1003</v>
      </c>
      <c r="E619" s="1019"/>
      <c r="F619" s="1019"/>
      <c r="G619" s="1019"/>
      <c r="H619" s="1019"/>
      <c r="I619" s="1019"/>
      <c r="J619" s="1019"/>
      <c r="K619" s="1019"/>
      <c r="L619" s="1019"/>
      <c r="M619" s="1019"/>
      <c r="N619" s="1019"/>
      <c r="O619" s="1019"/>
      <c r="P619" s="1019"/>
      <c r="Q619" s="1019"/>
      <c r="R619" s="1019"/>
      <c r="S619" s="1019"/>
      <c r="T619" s="1019"/>
      <c r="U619" s="1019"/>
      <c r="V619" s="1019"/>
      <c r="W619" s="1019"/>
      <c r="X619" s="1019"/>
      <c r="Y619" s="1019"/>
    </row>
    <row r="620" spans="4:25" ht="23.25" customHeight="1">
      <c r="D620" s="1019" t="s">
        <v>1004</v>
      </c>
      <c r="E620" s="1019"/>
      <c r="F620" s="1019"/>
      <c r="G620" s="1019"/>
      <c r="H620" s="1019"/>
      <c r="I620" s="1019"/>
      <c r="J620" s="1019"/>
      <c r="K620" s="1019"/>
      <c r="L620" s="1019"/>
      <c r="M620" s="1019"/>
      <c r="N620" s="1019"/>
      <c r="O620" s="1019"/>
      <c r="P620" s="1019"/>
      <c r="Q620" s="1019"/>
      <c r="R620" s="1019"/>
      <c r="S620" s="1019"/>
      <c r="T620" s="1019"/>
      <c r="U620" s="1019"/>
      <c r="V620" s="1019"/>
      <c r="W620" s="1019"/>
      <c r="X620" s="1019"/>
      <c r="Y620" s="1019"/>
    </row>
    <row r="621" spans="4:25" ht="16.5">
      <c r="D621" s="1019"/>
      <c r="E621" s="1019"/>
      <c r="F621" s="1019"/>
      <c r="G621" s="1019"/>
      <c r="H621" s="1019"/>
      <c r="I621" s="1019"/>
      <c r="J621" s="1019"/>
      <c r="K621" s="1019"/>
      <c r="L621" s="1019"/>
      <c r="M621" s="1019"/>
      <c r="N621" s="1019"/>
      <c r="O621" s="1019"/>
      <c r="P621" s="1019"/>
      <c r="Q621" s="1019"/>
      <c r="R621" s="1019"/>
      <c r="S621" s="1019"/>
      <c r="T621" s="1019"/>
      <c r="U621" s="1019"/>
      <c r="V621" s="1019"/>
      <c r="W621" s="1019"/>
      <c r="X621" s="1019"/>
      <c r="Y621" s="1019"/>
    </row>
    <row r="622" spans="4:25" ht="16.5">
      <c r="D622" s="1019"/>
      <c r="E622" s="1019"/>
      <c r="F622" s="1019"/>
      <c r="G622" s="1019"/>
      <c r="H622" s="1019"/>
      <c r="I622" s="1019"/>
      <c r="J622" s="1019"/>
      <c r="K622" s="1019"/>
      <c r="L622" s="1019"/>
      <c r="M622" s="1019"/>
      <c r="N622" s="1019"/>
      <c r="O622" s="1019"/>
      <c r="P622" s="1019"/>
      <c r="Q622" s="1019"/>
      <c r="R622" s="1019"/>
      <c r="S622" s="1019"/>
      <c r="T622" s="1019"/>
      <c r="U622" s="1019"/>
      <c r="V622" s="1019"/>
      <c r="W622" s="1019"/>
      <c r="X622" s="1019"/>
      <c r="Y622" s="1019"/>
    </row>
    <row r="623" spans="4:25" ht="16.5">
      <c r="D623" s="481"/>
      <c r="E623" s="481"/>
      <c r="F623" s="481"/>
      <c r="G623" s="481"/>
      <c r="H623" s="481"/>
      <c r="I623" s="481"/>
      <c r="J623" s="481"/>
      <c r="K623" s="481"/>
      <c r="L623" s="481"/>
      <c r="M623" s="481"/>
      <c r="N623" s="481"/>
      <c r="O623" s="481"/>
      <c r="P623" s="481"/>
      <c r="Q623" s="481"/>
      <c r="R623" s="481"/>
      <c r="S623" s="481"/>
      <c r="T623" s="481"/>
      <c r="U623" s="481"/>
      <c r="V623" s="481"/>
      <c r="W623" s="481"/>
      <c r="X623" s="481"/>
      <c r="Y623" s="481"/>
    </row>
    <row r="624" spans="4:25" ht="17.25">
      <c r="D624" s="1019" t="s">
        <v>1647</v>
      </c>
      <c r="E624" s="1019"/>
      <c r="F624" s="1019"/>
      <c r="G624" s="1019"/>
      <c r="H624" s="1019"/>
      <c r="I624" s="1019"/>
      <c r="J624" s="1019"/>
      <c r="K624" s="1019"/>
      <c r="L624" s="1019"/>
      <c r="M624" s="1019"/>
      <c r="N624" s="1019"/>
      <c r="O624" s="1019"/>
      <c r="P624" s="1019"/>
      <c r="Q624" s="1019"/>
      <c r="R624" s="1019"/>
      <c r="S624" s="1019"/>
      <c r="T624" s="1019"/>
      <c r="U624" s="1019"/>
      <c r="V624" s="1019"/>
      <c r="W624" s="1019"/>
      <c r="X624" s="1019"/>
      <c r="Y624" s="1019"/>
    </row>
    <row r="632" spans="4:25">
      <c r="D632" s="883" t="s">
        <v>1005</v>
      </c>
      <c r="E632" s="883"/>
      <c r="F632" s="883"/>
      <c r="G632" s="883"/>
      <c r="H632" s="883"/>
      <c r="I632" s="883"/>
      <c r="J632" s="883"/>
      <c r="K632" s="883"/>
      <c r="L632" s="883"/>
      <c r="M632" s="883"/>
      <c r="N632" s="883"/>
      <c r="O632" s="883"/>
      <c r="P632" s="883"/>
      <c r="Q632" s="883"/>
      <c r="R632" s="883"/>
      <c r="S632" s="883"/>
      <c r="T632" s="883"/>
      <c r="U632" s="883"/>
      <c r="V632" s="883"/>
      <c r="W632" s="883"/>
      <c r="X632" s="883"/>
      <c r="Y632" s="883"/>
    </row>
    <row r="634" spans="4:25">
      <c r="D634" s="2" t="s">
        <v>881</v>
      </c>
      <c r="E634" s="852" t="s">
        <v>937</v>
      </c>
      <c r="F634" s="852"/>
      <c r="G634" s="852"/>
      <c r="H634" s="852"/>
      <c r="I634" s="852"/>
      <c r="J634" s="852"/>
      <c r="K634" s="852"/>
      <c r="L634" s="852"/>
      <c r="M634" s="852"/>
      <c r="N634" s="852" t="s">
        <v>1006</v>
      </c>
      <c r="O634" s="852"/>
      <c r="P634" s="852"/>
      <c r="Q634" s="852"/>
      <c r="R634" s="852"/>
      <c r="S634" s="852"/>
      <c r="T634" s="852"/>
      <c r="U634" s="852"/>
      <c r="V634" s="852"/>
      <c r="W634" s="852"/>
      <c r="X634" s="852"/>
      <c r="Y634" s="852"/>
    </row>
    <row r="635" spans="4:25">
      <c r="D635" s="482"/>
      <c r="E635" s="914" t="s">
        <v>1007</v>
      </c>
      <c r="F635" s="915"/>
      <c r="G635" s="915"/>
      <c r="H635" s="915"/>
      <c r="I635" s="915"/>
      <c r="J635" s="915"/>
      <c r="K635" s="915"/>
      <c r="L635" s="915"/>
      <c r="M635" s="916"/>
      <c r="N635" s="915" t="s">
        <v>1009</v>
      </c>
      <c r="O635" s="915"/>
      <c r="P635" s="915"/>
      <c r="Q635" s="915"/>
      <c r="R635" s="915"/>
      <c r="S635" s="915"/>
      <c r="T635" s="915"/>
      <c r="U635" s="915"/>
      <c r="V635" s="915"/>
      <c r="W635" s="915"/>
      <c r="X635" s="915"/>
      <c r="Y635" s="916"/>
    </row>
    <row r="636" spans="4:25">
      <c r="D636" s="483"/>
      <c r="E636" s="917"/>
      <c r="F636" s="803"/>
      <c r="G636" s="803"/>
      <c r="H636" s="803"/>
      <c r="I636" s="803"/>
      <c r="J636" s="803"/>
      <c r="K636" s="803"/>
      <c r="L636" s="803"/>
      <c r="M636" s="918"/>
      <c r="N636" s="803" t="s">
        <v>1010</v>
      </c>
      <c r="O636" s="803"/>
      <c r="P636" s="803"/>
      <c r="Q636" s="803"/>
      <c r="R636" s="803"/>
      <c r="S636" s="803"/>
      <c r="T636" s="803"/>
      <c r="U636" s="803"/>
      <c r="V636" s="803"/>
      <c r="W636" s="803"/>
      <c r="X636" s="803"/>
      <c r="Y636" s="918"/>
    </row>
    <row r="637" spans="4:25">
      <c r="D637" s="483"/>
      <c r="E637" s="917"/>
      <c r="F637" s="803"/>
      <c r="G637" s="803"/>
      <c r="H637" s="803"/>
      <c r="I637" s="803"/>
      <c r="J637" s="803"/>
      <c r="K637" s="803"/>
      <c r="L637" s="803"/>
      <c r="M637" s="918"/>
      <c r="N637" s="803" t="s">
        <v>1011</v>
      </c>
      <c r="O637" s="803"/>
      <c r="P637" s="803"/>
      <c r="Q637" s="803"/>
      <c r="R637" s="803"/>
      <c r="S637" s="803"/>
      <c r="T637" s="803"/>
      <c r="U637" s="803"/>
      <c r="V637" s="803"/>
      <c r="W637" s="803"/>
      <c r="X637" s="803"/>
      <c r="Y637" s="918"/>
    </row>
    <row r="638" spans="4:25">
      <c r="D638" s="483"/>
      <c r="E638" s="917"/>
      <c r="F638" s="803"/>
      <c r="G638" s="803"/>
      <c r="H638" s="803"/>
      <c r="I638" s="803"/>
      <c r="J638" s="803"/>
      <c r="K638" s="803"/>
      <c r="L638" s="803"/>
      <c r="M638" s="918"/>
      <c r="N638" s="803" t="s">
        <v>1012</v>
      </c>
      <c r="O638" s="803"/>
      <c r="P638" s="803"/>
      <c r="Q638" s="803"/>
      <c r="R638" s="803"/>
      <c r="S638" s="803"/>
      <c r="T638" s="803"/>
      <c r="U638" s="803"/>
      <c r="V638" s="803"/>
      <c r="W638" s="803"/>
      <c r="X638" s="803"/>
      <c r="Y638" s="918"/>
    </row>
    <row r="639" spans="4:25">
      <c r="D639" s="484"/>
      <c r="E639" s="932"/>
      <c r="F639" s="933"/>
      <c r="G639" s="933"/>
      <c r="H639" s="933"/>
      <c r="I639" s="933"/>
      <c r="J639" s="933"/>
      <c r="K639" s="933"/>
      <c r="L639" s="933"/>
      <c r="M639" s="934"/>
      <c r="N639" s="933"/>
      <c r="O639" s="933"/>
      <c r="P639" s="933"/>
      <c r="Q639" s="933"/>
      <c r="R639" s="933"/>
      <c r="S639" s="933"/>
      <c r="T639" s="933"/>
      <c r="U639" s="933"/>
      <c r="V639" s="933"/>
      <c r="W639" s="933"/>
      <c r="X639" s="933"/>
      <c r="Y639" s="934"/>
    </row>
    <row r="640" spans="4:25">
      <c r="D640" s="485"/>
      <c r="E640" s="790" t="s">
        <v>1008</v>
      </c>
      <c r="F640" s="791"/>
      <c r="G640" s="791"/>
      <c r="H640" s="791"/>
      <c r="I640" s="791"/>
      <c r="J640" s="791"/>
      <c r="K640" s="791"/>
      <c r="L640" s="791"/>
      <c r="M640" s="792"/>
      <c r="N640" s="791" t="s">
        <v>1013</v>
      </c>
      <c r="O640" s="791"/>
      <c r="P640" s="791"/>
      <c r="Q640" s="791"/>
      <c r="R640" s="791"/>
      <c r="S640" s="791"/>
      <c r="T640" s="791"/>
      <c r="U640" s="791"/>
      <c r="V640" s="791"/>
      <c r="W640" s="791"/>
      <c r="X640" s="791"/>
      <c r="Y640" s="792"/>
    </row>
    <row r="641" spans="4:25" ht="33" customHeight="1">
      <c r="D641" s="485"/>
      <c r="E641" s="888" t="s">
        <v>1015</v>
      </c>
      <c r="F641" s="889"/>
      <c r="G641" s="889"/>
      <c r="H641" s="889"/>
      <c r="I641" s="889"/>
      <c r="J641" s="889"/>
      <c r="K641" s="889"/>
      <c r="L641" s="889"/>
      <c r="M641" s="890"/>
      <c r="N641" s="791" t="s">
        <v>1014</v>
      </c>
      <c r="O641" s="791"/>
      <c r="P641" s="791"/>
      <c r="Q641" s="791"/>
      <c r="R641" s="791"/>
      <c r="S641" s="791"/>
      <c r="T641" s="791"/>
      <c r="U641" s="791"/>
      <c r="V641" s="791"/>
      <c r="W641" s="791"/>
      <c r="X641" s="791"/>
      <c r="Y641" s="792"/>
    </row>
    <row r="642" spans="4:25" ht="33" customHeight="1">
      <c r="D642" s="482"/>
      <c r="E642" s="1020" t="s">
        <v>1016</v>
      </c>
      <c r="F642" s="1021"/>
      <c r="G642" s="1021"/>
      <c r="H642" s="1021"/>
      <c r="I642" s="1021"/>
      <c r="J642" s="1021"/>
      <c r="K642" s="1021"/>
      <c r="L642" s="1021"/>
      <c r="M642" s="1022"/>
      <c r="N642" s="915" t="s">
        <v>1017</v>
      </c>
      <c r="O642" s="915"/>
      <c r="P642" s="915"/>
      <c r="Q642" s="915"/>
      <c r="R642" s="915"/>
      <c r="S642" s="915"/>
      <c r="T642" s="915"/>
      <c r="U642" s="915"/>
      <c r="V642" s="915"/>
      <c r="W642" s="915"/>
      <c r="X642" s="915"/>
      <c r="Y642" s="916"/>
    </row>
    <row r="643" spans="4:25">
      <c r="D643" s="483"/>
      <c r="E643" s="823"/>
      <c r="F643" s="729"/>
      <c r="G643" s="729"/>
      <c r="H643" s="729"/>
      <c r="I643" s="729"/>
      <c r="J643" s="729"/>
      <c r="K643" s="729"/>
      <c r="L643" s="729"/>
      <c r="M643" s="821"/>
      <c r="N643" s="803" t="s">
        <v>1018</v>
      </c>
      <c r="O643" s="803"/>
      <c r="P643" s="803"/>
      <c r="Q643" s="803"/>
      <c r="R643" s="803"/>
      <c r="S643" s="803"/>
      <c r="T643" s="803"/>
      <c r="U643" s="803"/>
      <c r="V643" s="803"/>
      <c r="W643" s="803"/>
      <c r="X643" s="803"/>
      <c r="Y643" s="918"/>
    </row>
    <row r="644" spans="4:25">
      <c r="D644" s="483"/>
      <c r="E644" s="823"/>
      <c r="F644" s="729"/>
      <c r="G644" s="729"/>
      <c r="H644" s="729"/>
      <c r="I644" s="729"/>
      <c r="J644" s="729"/>
      <c r="K644" s="729"/>
      <c r="L644" s="729"/>
      <c r="M644" s="821"/>
      <c r="N644" s="803" t="s">
        <v>1019</v>
      </c>
      <c r="O644" s="803"/>
      <c r="P644" s="803"/>
      <c r="Q644" s="803"/>
      <c r="R644" s="803"/>
      <c r="S644" s="803"/>
      <c r="T644" s="803"/>
      <c r="U644" s="803"/>
      <c r="V644" s="803"/>
      <c r="W644" s="803"/>
      <c r="X644" s="803"/>
      <c r="Y644" s="918"/>
    </row>
    <row r="645" spans="4:25">
      <c r="D645" s="483"/>
      <c r="E645" s="917" t="s">
        <v>1020</v>
      </c>
      <c r="F645" s="803"/>
      <c r="G645" s="803"/>
      <c r="H645" s="803"/>
      <c r="I645" s="803"/>
      <c r="J645" s="803"/>
      <c r="K645" s="803"/>
      <c r="L645" s="803"/>
      <c r="M645" s="918"/>
      <c r="N645" s="803" t="s">
        <v>1023</v>
      </c>
      <c r="O645" s="803"/>
      <c r="P645" s="803"/>
      <c r="Q645" s="803"/>
      <c r="R645" s="803"/>
      <c r="S645" s="803"/>
      <c r="T645" s="803"/>
      <c r="U645" s="803"/>
      <c r="V645" s="803"/>
      <c r="W645" s="803"/>
      <c r="X645" s="803"/>
      <c r="Y645" s="918"/>
    </row>
    <row r="646" spans="4:25">
      <c r="D646" s="483"/>
      <c r="E646" s="917" t="s">
        <v>1021</v>
      </c>
      <c r="F646" s="803"/>
      <c r="G646" s="803"/>
      <c r="H646" s="803"/>
      <c r="I646" s="803"/>
      <c r="J646" s="803"/>
      <c r="K646" s="803"/>
      <c r="L646" s="803"/>
      <c r="M646" s="918"/>
      <c r="N646" s="803"/>
      <c r="O646" s="803"/>
      <c r="P646" s="803"/>
      <c r="Q646" s="803"/>
      <c r="R646" s="803"/>
      <c r="S646" s="803"/>
      <c r="T646" s="803"/>
      <c r="U646" s="803"/>
      <c r="V646" s="803"/>
      <c r="W646" s="803"/>
      <c r="X646" s="803"/>
      <c r="Y646" s="918"/>
    </row>
    <row r="647" spans="4:25">
      <c r="D647" s="483"/>
      <c r="E647" s="917" t="s">
        <v>1022</v>
      </c>
      <c r="F647" s="803"/>
      <c r="G647" s="803"/>
      <c r="H647" s="803"/>
      <c r="I647" s="803"/>
      <c r="J647" s="803"/>
      <c r="K647" s="803"/>
      <c r="L647" s="803"/>
      <c r="M647" s="918"/>
      <c r="N647" s="803" t="s">
        <v>1024</v>
      </c>
      <c r="O647" s="803"/>
      <c r="P647" s="803"/>
      <c r="Q647" s="803"/>
      <c r="R647" s="803"/>
      <c r="S647" s="803"/>
      <c r="T647" s="803"/>
      <c r="U647" s="803"/>
      <c r="V647" s="803"/>
      <c r="W647" s="803"/>
      <c r="X647" s="803"/>
      <c r="Y647" s="918"/>
    </row>
    <row r="648" spans="4:25">
      <c r="D648" s="483"/>
      <c r="E648" s="917"/>
      <c r="F648" s="803"/>
      <c r="G648" s="803"/>
      <c r="H648" s="803"/>
      <c r="I648" s="803"/>
      <c r="J648" s="803"/>
      <c r="K648" s="803"/>
      <c r="L648" s="803"/>
      <c r="M648" s="918"/>
      <c r="N648" s="803" t="s">
        <v>1025</v>
      </c>
      <c r="O648" s="803"/>
      <c r="P648" s="803"/>
      <c r="Q648" s="803"/>
      <c r="R648" s="803"/>
      <c r="S648" s="803"/>
      <c r="T648" s="803"/>
      <c r="U648" s="803"/>
      <c r="V648" s="803"/>
      <c r="W648" s="803"/>
      <c r="X648" s="803"/>
      <c r="Y648" s="918"/>
    </row>
    <row r="649" spans="4:25">
      <c r="D649" s="483"/>
      <c r="E649" s="917"/>
      <c r="F649" s="803"/>
      <c r="G649" s="803"/>
      <c r="H649" s="803"/>
      <c r="I649" s="803"/>
      <c r="J649" s="803"/>
      <c r="K649" s="803"/>
      <c r="L649" s="803"/>
      <c r="M649" s="918"/>
      <c r="N649" s="803" t="s">
        <v>1026</v>
      </c>
      <c r="O649" s="803"/>
      <c r="P649" s="803"/>
      <c r="Q649" s="803"/>
      <c r="R649" s="803"/>
      <c r="S649" s="803"/>
      <c r="T649" s="803"/>
      <c r="U649" s="803"/>
      <c r="V649" s="803"/>
      <c r="W649" s="803"/>
      <c r="X649" s="803"/>
      <c r="Y649" s="918"/>
    </row>
    <row r="650" spans="4:25">
      <c r="D650" s="483"/>
      <c r="E650" s="917"/>
      <c r="F650" s="803"/>
      <c r="G650" s="803"/>
      <c r="H650" s="803"/>
      <c r="I650" s="803"/>
      <c r="J650" s="803"/>
      <c r="K650" s="803"/>
      <c r="L650" s="803"/>
      <c r="M650" s="918"/>
      <c r="N650" s="803"/>
      <c r="O650" s="803"/>
      <c r="P650" s="803"/>
      <c r="Q650" s="803"/>
      <c r="R650" s="803"/>
      <c r="S650" s="803"/>
      <c r="T650" s="803"/>
      <c r="U650" s="803"/>
      <c r="V650" s="803"/>
      <c r="W650" s="803"/>
      <c r="X650" s="803"/>
      <c r="Y650" s="918"/>
    </row>
    <row r="651" spans="4:25">
      <c r="D651" s="483"/>
      <c r="E651" s="917" t="s">
        <v>1027</v>
      </c>
      <c r="F651" s="803"/>
      <c r="G651" s="803"/>
      <c r="H651" s="803"/>
      <c r="I651" s="803"/>
      <c r="J651" s="803"/>
      <c r="K651" s="803"/>
      <c r="L651" s="803"/>
      <c r="M651" s="918"/>
      <c r="N651" s="803" t="s">
        <v>1028</v>
      </c>
      <c r="O651" s="803"/>
      <c r="P651" s="803"/>
      <c r="Q651" s="803"/>
      <c r="R651" s="803"/>
      <c r="S651" s="803"/>
      <c r="T651" s="803"/>
      <c r="U651" s="803"/>
      <c r="V651" s="803"/>
      <c r="W651" s="803"/>
      <c r="X651" s="803"/>
      <c r="Y651" s="918"/>
    </row>
    <row r="652" spans="4:25">
      <c r="D652" s="483"/>
      <c r="E652" s="917"/>
      <c r="F652" s="803"/>
      <c r="G652" s="803"/>
      <c r="H652" s="803"/>
      <c r="I652" s="803"/>
      <c r="J652" s="803"/>
      <c r="K652" s="803"/>
      <c r="L652" s="803"/>
      <c r="M652" s="918"/>
      <c r="N652" s="803"/>
      <c r="O652" s="803"/>
      <c r="P652" s="803"/>
      <c r="Q652" s="803"/>
      <c r="R652" s="803"/>
      <c r="S652" s="803"/>
      <c r="T652" s="803"/>
      <c r="U652" s="803"/>
      <c r="V652" s="803"/>
      <c r="W652" s="803"/>
      <c r="X652" s="803"/>
      <c r="Y652" s="918"/>
    </row>
    <row r="653" spans="4:25">
      <c r="D653" s="483"/>
      <c r="E653" s="917" t="s">
        <v>1030</v>
      </c>
      <c r="F653" s="803"/>
      <c r="G653" s="803"/>
      <c r="H653" s="803"/>
      <c r="I653" s="803"/>
      <c r="J653" s="803"/>
      <c r="K653" s="803"/>
      <c r="L653" s="803"/>
      <c r="M653" s="918"/>
      <c r="N653" s="803" t="s">
        <v>1029</v>
      </c>
      <c r="O653" s="803"/>
      <c r="P653" s="803"/>
      <c r="Q653" s="803"/>
      <c r="R653" s="803"/>
      <c r="S653" s="803"/>
      <c r="T653" s="803"/>
      <c r="U653" s="803"/>
      <c r="V653" s="803"/>
      <c r="W653" s="803"/>
      <c r="X653" s="803"/>
      <c r="Y653" s="918"/>
    </row>
    <row r="654" spans="4:25">
      <c r="D654" s="483"/>
      <c r="E654" s="917"/>
      <c r="F654" s="803"/>
      <c r="G654" s="803"/>
      <c r="H654" s="803"/>
      <c r="I654" s="803"/>
      <c r="J654" s="803"/>
      <c r="K654" s="803"/>
      <c r="L654" s="803"/>
      <c r="M654" s="918"/>
      <c r="N654" s="803"/>
      <c r="O654" s="803"/>
      <c r="P654" s="803"/>
      <c r="Q654" s="803"/>
      <c r="R654" s="803"/>
      <c r="S654" s="803"/>
      <c r="T654" s="803"/>
      <c r="U654" s="803"/>
      <c r="V654" s="803"/>
      <c r="W654" s="803"/>
      <c r="X654" s="803"/>
      <c r="Y654" s="918"/>
    </row>
    <row r="655" spans="4:25">
      <c r="D655" s="483"/>
      <c r="E655" s="917" t="s">
        <v>1031</v>
      </c>
      <c r="F655" s="803"/>
      <c r="G655" s="803"/>
      <c r="H655" s="803"/>
      <c r="I655" s="803"/>
      <c r="J655" s="803"/>
      <c r="K655" s="803"/>
      <c r="L655" s="803"/>
      <c r="M655" s="918"/>
      <c r="N655" s="803" t="s">
        <v>1033</v>
      </c>
      <c r="O655" s="803"/>
      <c r="P655" s="803"/>
      <c r="Q655" s="803"/>
      <c r="R655" s="803"/>
      <c r="S655" s="803"/>
      <c r="T655" s="803"/>
      <c r="U655" s="803"/>
      <c r="V655" s="803"/>
      <c r="W655" s="803"/>
      <c r="X655" s="803"/>
      <c r="Y655" s="918"/>
    </row>
    <row r="656" spans="4:25">
      <c r="D656" s="483"/>
      <c r="E656" s="917" t="s">
        <v>1032</v>
      </c>
      <c r="F656" s="803"/>
      <c r="G656" s="803"/>
      <c r="H656" s="803"/>
      <c r="I656" s="803"/>
      <c r="J656" s="803"/>
      <c r="K656" s="803"/>
      <c r="L656" s="803"/>
      <c r="M656" s="918"/>
      <c r="N656" s="803" t="s">
        <v>1034</v>
      </c>
      <c r="O656" s="803"/>
      <c r="P656" s="803"/>
      <c r="Q656" s="803"/>
      <c r="R656" s="803"/>
      <c r="S656" s="803"/>
      <c r="T656" s="803"/>
      <c r="U656" s="803"/>
      <c r="V656" s="803"/>
      <c r="W656" s="803"/>
      <c r="X656" s="803"/>
      <c r="Y656" s="918"/>
    </row>
    <row r="657" spans="4:25">
      <c r="D657" s="484"/>
      <c r="E657" s="932"/>
      <c r="F657" s="933"/>
      <c r="G657" s="933"/>
      <c r="H657" s="933"/>
      <c r="I657" s="933"/>
      <c r="J657" s="933"/>
      <c r="K657" s="933"/>
      <c r="L657" s="933"/>
      <c r="M657" s="934"/>
      <c r="N657" s="933" t="s">
        <v>1035</v>
      </c>
      <c r="O657" s="933"/>
      <c r="P657" s="933"/>
      <c r="Q657" s="933"/>
      <c r="R657" s="933"/>
      <c r="S657" s="933"/>
      <c r="T657" s="933"/>
      <c r="U657" s="933"/>
      <c r="V657" s="933"/>
      <c r="W657" s="933"/>
      <c r="X657" s="933"/>
      <c r="Y657" s="934"/>
    </row>
    <row r="658" spans="4:25">
      <c r="E658" s="803"/>
      <c r="F658" s="803"/>
      <c r="G658" s="803"/>
      <c r="H658" s="803"/>
      <c r="I658" s="803"/>
      <c r="J658" s="803"/>
      <c r="K658" s="803"/>
      <c r="L658" s="803"/>
      <c r="M658" s="803"/>
      <c r="N658" s="803"/>
      <c r="O658" s="803"/>
      <c r="P658" s="803"/>
      <c r="Q658" s="803"/>
      <c r="R658" s="803"/>
      <c r="S658" s="803"/>
      <c r="T658" s="803"/>
      <c r="U658" s="803"/>
      <c r="V658" s="803"/>
      <c r="W658" s="803"/>
      <c r="X658" s="803"/>
      <c r="Y658" s="803"/>
    </row>
    <row r="659" spans="4:25">
      <c r="E659" s="883" t="s">
        <v>1036</v>
      </c>
      <c r="F659" s="883"/>
      <c r="G659" s="883"/>
      <c r="H659" s="883"/>
      <c r="I659" s="883"/>
      <c r="J659" s="883"/>
      <c r="K659" s="883"/>
      <c r="L659" s="883"/>
      <c r="M659" s="883"/>
      <c r="N659" s="883"/>
      <c r="O659" s="883"/>
      <c r="P659" s="883"/>
      <c r="Q659" s="883"/>
      <c r="R659" s="883"/>
      <c r="S659" s="883"/>
      <c r="T659" s="883"/>
      <c r="U659" s="883"/>
      <c r="V659" s="883"/>
      <c r="W659" s="883"/>
      <c r="X659" s="883"/>
      <c r="Y659" s="883"/>
    </row>
    <row r="660" spans="4:25">
      <c r="E660" s="803"/>
      <c r="F660" s="803"/>
      <c r="G660" s="803"/>
      <c r="H660" s="803"/>
      <c r="I660" s="803"/>
      <c r="J660" s="803"/>
      <c r="K660" s="803"/>
      <c r="L660" s="803"/>
      <c r="M660" s="803"/>
      <c r="N660" s="803"/>
      <c r="O660" s="803"/>
      <c r="P660" s="803"/>
      <c r="Q660" s="803"/>
      <c r="R660" s="803"/>
      <c r="S660" s="803"/>
      <c r="T660" s="803"/>
      <c r="U660" s="803"/>
      <c r="V660" s="803"/>
      <c r="W660" s="803"/>
      <c r="X660" s="803"/>
      <c r="Y660" s="803"/>
    </row>
    <row r="661" spans="4:25">
      <c r="D661" s="482"/>
      <c r="E661" s="914" t="s">
        <v>1037</v>
      </c>
      <c r="F661" s="915"/>
      <c r="G661" s="915"/>
      <c r="H661" s="915"/>
      <c r="I661" s="915"/>
      <c r="J661" s="915"/>
      <c r="K661" s="915"/>
      <c r="L661" s="915"/>
      <c r="M661" s="916"/>
      <c r="N661" s="915" t="s">
        <v>1038</v>
      </c>
      <c r="O661" s="915"/>
      <c r="P661" s="915"/>
      <c r="Q661" s="915"/>
      <c r="R661" s="915"/>
      <c r="S661" s="915"/>
      <c r="T661" s="915"/>
      <c r="U661" s="915"/>
      <c r="V661" s="915"/>
      <c r="W661" s="915"/>
      <c r="X661" s="915"/>
      <c r="Y661" s="916"/>
    </row>
    <row r="662" spans="4:25">
      <c r="D662" s="483"/>
      <c r="E662" s="917" t="s">
        <v>1022</v>
      </c>
      <c r="F662" s="803"/>
      <c r="G662" s="803"/>
      <c r="H662" s="803"/>
      <c r="I662" s="803"/>
      <c r="J662" s="803"/>
      <c r="K662" s="803"/>
      <c r="L662" s="803"/>
      <c r="M662" s="918"/>
      <c r="N662" s="803" t="s">
        <v>1039</v>
      </c>
      <c r="O662" s="803"/>
      <c r="P662" s="803"/>
      <c r="Q662" s="803"/>
      <c r="R662" s="803"/>
      <c r="S662" s="803"/>
      <c r="T662" s="803"/>
      <c r="U662" s="803"/>
      <c r="V662" s="803"/>
      <c r="W662" s="803"/>
      <c r="X662" s="803"/>
      <c r="Y662" s="918"/>
    </row>
    <row r="663" spans="4:25" ht="66.75" customHeight="1">
      <c r="D663" s="484"/>
      <c r="E663" s="932"/>
      <c r="F663" s="933"/>
      <c r="G663" s="933"/>
      <c r="H663" s="933"/>
      <c r="I663" s="933"/>
      <c r="J663" s="933"/>
      <c r="K663" s="933"/>
      <c r="L663" s="933"/>
      <c r="M663" s="934"/>
      <c r="N663" s="844" t="s">
        <v>1040</v>
      </c>
      <c r="O663" s="933"/>
      <c r="P663" s="933"/>
      <c r="Q663" s="933"/>
      <c r="R663" s="933"/>
      <c r="S663" s="933"/>
      <c r="T663" s="933"/>
      <c r="U663" s="933"/>
      <c r="V663" s="933"/>
      <c r="W663" s="933"/>
      <c r="X663" s="933"/>
      <c r="Y663" s="934"/>
    </row>
    <row r="664" spans="4:25" ht="31.5" customHeight="1">
      <c r="D664" s="482"/>
      <c r="E664" s="1033" t="s">
        <v>1041</v>
      </c>
      <c r="F664" s="1034"/>
      <c r="G664" s="1034"/>
      <c r="H664" s="1034"/>
      <c r="I664" s="1034"/>
      <c r="J664" s="1034"/>
      <c r="K664" s="1034"/>
      <c r="L664" s="1034"/>
      <c r="M664" s="1035"/>
      <c r="N664" s="1028" t="s">
        <v>1042</v>
      </c>
      <c r="O664" s="1028"/>
      <c r="P664" s="1028"/>
      <c r="Q664" s="1028"/>
      <c r="R664" s="1028"/>
      <c r="S664" s="1028"/>
      <c r="T664" s="1028"/>
      <c r="U664" s="1028"/>
      <c r="V664" s="1028"/>
      <c r="W664" s="1028"/>
      <c r="X664" s="1028"/>
      <c r="Y664" s="1029"/>
    </row>
    <row r="665" spans="4:25">
      <c r="D665" s="483"/>
      <c r="E665" s="1036" t="s">
        <v>1043</v>
      </c>
      <c r="F665" s="1023"/>
      <c r="G665" s="1023"/>
      <c r="H665" s="1023"/>
      <c r="I665" s="1023"/>
      <c r="J665" s="1023"/>
      <c r="K665" s="1023"/>
      <c r="L665" s="1023"/>
      <c r="M665" s="1037"/>
      <c r="N665" s="1023" t="s">
        <v>1044</v>
      </c>
      <c r="O665" s="1023"/>
      <c r="P665" s="1023"/>
      <c r="Q665" s="1023"/>
      <c r="R665" s="1023"/>
      <c r="S665" s="1023"/>
      <c r="T665" s="1023"/>
      <c r="U665" s="1023"/>
      <c r="V665" s="1023"/>
      <c r="W665" s="1023"/>
      <c r="X665" s="1023"/>
      <c r="Y665" s="1037"/>
    </row>
    <row r="666" spans="4:25">
      <c r="D666" s="484"/>
      <c r="E666" s="1024"/>
      <c r="F666" s="1025"/>
      <c r="G666" s="1025"/>
      <c r="H666" s="1025"/>
      <c r="I666" s="1025"/>
      <c r="J666" s="1025"/>
      <c r="K666" s="1025"/>
      <c r="L666" s="1025"/>
      <c r="M666" s="1026"/>
      <c r="N666" s="1025" t="s">
        <v>1045</v>
      </c>
      <c r="O666" s="1025"/>
      <c r="P666" s="1025"/>
      <c r="Q666" s="1025"/>
      <c r="R666" s="1025"/>
      <c r="S666" s="1025"/>
      <c r="T666" s="1025"/>
      <c r="U666" s="1025"/>
      <c r="V666" s="1025"/>
      <c r="W666" s="1025"/>
      <c r="X666" s="1025"/>
      <c r="Y666" s="1026"/>
    </row>
    <row r="667" spans="4:25">
      <c r="D667" s="482"/>
      <c r="E667" s="1027"/>
      <c r="F667" s="1028"/>
      <c r="G667" s="1028"/>
      <c r="H667" s="1028"/>
      <c r="I667" s="1028"/>
      <c r="J667" s="1028"/>
      <c r="K667" s="1028"/>
      <c r="L667" s="1028"/>
      <c r="M667" s="1029"/>
      <c r="N667" s="1028"/>
      <c r="O667" s="1028"/>
      <c r="P667" s="1028"/>
      <c r="Q667" s="1028"/>
      <c r="R667" s="1028"/>
      <c r="S667" s="1028"/>
      <c r="T667" s="1028"/>
      <c r="U667" s="1028"/>
      <c r="V667" s="1028"/>
      <c r="W667" s="1028"/>
      <c r="X667" s="1028"/>
      <c r="Y667" s="1029"/>
    </row>
    <row r="668" spans="4:25" ht="60.75" customHeight="1">
      <c r="D668" s="484"/>
      <c r="E668" s="1030" t="s">
        <v>1047</v>
      </c>
      <c r="F668" s="1031"/>
      <c r="G668" s="1031"/>
      <c r="H668" s="1031"/>
      <c r="I668" s="1031"/>
      <c r="J668" s="1031"/>
      <c r="K668" s="1031"/>
      <c r="L668" s="1031"/>
      <c r="M668" s="1032"/>
      <c r="N668" s="1025" t="s">
        <v>1046</v>
      </c>
      <c r="O668" s="1025"/>
      <c r="P668" s="1025"/>
      <c r="Q668" s="1025"/>
      <c r="R668" s="1025"/>
      <c r="S668" s="1025"/>
      <c r="T668" s="1025"/>
      <c r="U668" s="1025"/>
      <c r="V668" s="1025"/>
      <c r="W668" s="1025"/>
      <c r="X668" s="1025"/>
      <c r="Y668" s="1026"/>
    </row>
    <row r="669" spans="4:25">
      <c r="E669" s="1023"/>
      <c r="F669" s="1023"/>
      <c r="G669" s="1023"/>
      <c r="H669" s="1023"/>
      <c r="I669" s="1023"/>
      <c r="J669" s="1023"/>
      <c r="K669" s="1023"/>
      <c r="L669" s="1023"/>
      <c r="M669" s="1023"/>
      <c r="N669" s="1023"/>
      <c r="O669" s="1023"/>
      <c r="P669" s="1023"/>
      <c r="Q669" s="1023"/>
      <c r="R669" s="1023"/>
      <c r="S669" s="1023"/>
      <c r="T669" s="1023"/>
      <c r="U669" s="1023"/>
      <c r="V669" s="1023"/>
      <c r="W669" s="1023"/>
      <c r="X669" s="1023"/>
      <c r="Y669" s="1023"/>
    </row>
    <row r="670" spans="4:25">
      <c r="E670" s="729"/>
      <c r="F670" s="729"/>
      <c r="G670" s="729"/>
      <c r="H670" s="729"/>
      <c r="I670" s="729"/>
      <c r="J670" s="729"/>
      <c r="K670" s="729"/>
      <c r="L670" s="729"/>
      <c r="M670" s="729"/>
      <c r="N670" s="729"/>
      <c r="O670" s="729"/>
      <c r="P670" s="729"/>
      <c r="Q670" s="729"/>
      <c r="R670" s="729"/>
      <c r="S670" s="729"/>
      <c r="T670" s="729"/>
      <c r="U670" s="729"/>
      <c r="V670" s="729"/>
      <c r="W670" s="729"/>
      <c r="X670" s="729"/>
      <c r="Y670" s="729"/>
    </row>
    <row r="671" spans="4:25" ht="27.75" customHeight="1">
      <c r="D671" s="802" t="s">
        <v>1048</v>
      </c>
      <c r="E671" s="802"/>
      <c r="F671" s="802"/>
      <c r="G671" s="802"/>
      <c r="H671" s="802"/>
      <c r="I671" s="802"/>
      <c r="J671" s="802"/>
      <c r="K671" s="802"/>
      <c r="L671" s="802"/>
      <c r="M671" s="802"/>
      <c r="N671" s="802"/>
      <c r="O671" s="802"/>
      <c r="P671" s="802"/>
      <c r="Q671" s="802"/>
      <c r="R671" s="802"/>
      <c r="S671" s="802"/>
      <c r="T671" s="802"/>
      <c r="U671" s="802"/>
      <c r="V671" s="802"/>
      <c r="W671" s="802"/>
      <c r="X671" s="802"/>
      <c r="Y671" s="802"/>
    </row>
    <row r="672" spans="4:25" ht="27.75" customHeight="1">
      <c r="D672" s="801" t="s">
        <v>1049</v>
      </c>
      <c r="E672" s="801"/>
      <c r="F672" s="801"/>
      <c r="G672" s="801"/>
      <c r="H672" s="801"/>
      <c r="I672" s="801"/>
      <c r="J672" s="801"/>
      <c r="K672" s="801"/>
      <c r="L672" s="801"/>
      <c r="M672" s="801"/>
      <c r="N672" s="801"/>
      <c r="O672" s="801"/>
      <c r="P672" s="801"/>
      <c r="Q672" s="801"/>
      <c r="R672" s="801"/>
      <c r="S672" s="801"/>
      <c r="T672" s="801"/>
      <c r="U672" s="801"/>
      <c r="V672" s="801"/>
      <c r="W672" s="801"/>
      <c r="X672" s="801"/>
      <c r="Y672" s="801"/>
    </row>
    <row r="673" spans="4:29" ht="27.75" customHeight="1">
      <c r="D673" s="801" t="s">
        <v>1050</v>
      </c>
      <c r="E673" s="801"/>
      <c r="F673" s="801"/>
      <c r="G673" s="801"/>
      <c r="H673" s="801"/>
      <c r="I673" s="801"/>
      <c r="J673" s="801"/>
      <c r="K673" s="801"/>
      <c r="L673" s="801"/>
      <c r="M673" s="801"/>
      <c r="N673" s="801"/>
      <c r="O673" s="801"/>
      <c r="P673" s="801"/>
      <c r="Q673" s="801"/>
      <c r="R673" s="801"/>
      <c r="S673" s="801"/>
      <c r="T673" s="801"/>
      <c r="U673" s="801"/>
      <c r="V673" s="801"/>
      <c r="W673" s="801"/>
      <c r="X673" s="801"/>
      <c r="Y673" s="801"/>
    </row>
    <row r="674" spans="4:29" ht="27.75" customHeight="1">
      <c r="D674" s="801" t="s">
        <v>1053</v>
      </c>
      <c r="E674" s="801"/>
      <c r="F674" s="801"/>
      <c r="G674" s="801"/>
      <c r="H674" s="801"/>
      <c r="I674" s="801"/>
      <c r="J674" s="801"/>
      <c r="K674" s="801"/>
      <c r="L674" s="801"/>
      <c r="M674" s="801"/>
      <c r="N674" s="801"/>
      <c r="O674" s="801"/>
      <c r="P674" s="801"/>
      <c r="Q674" s="801"/>
      <c r="R674" s="801"/>
      <c r="S674" s="801"/>
      <c r="T674" s="801"/>
      <c r="U674" s="801"/>
      <c r="V674" s="801"/>
      <c r="W674" s="801"/>
      <c r="X674" s="801"/>
      <c r="Y674" s="801"/>
    </row>
    <row r="675" spans="4:29" ht="27.75" customHeight="1">
      <c r="D675" s="801" t="s">
        <v>1051</v>
      </c>
      <c r="E675" s="801"/>
      <c r="F675" s="801"/>
      <c r="G675" s="801"/>
      <c r="H675" s="801"/>
      <c r="I675" s="801"/>
      <c r="J675" s="801"/>
      <c r="K675" s="801"/>
      <c r="L675" s="801"/>
      <c r="M675" s="801"/>
      <c r="N675" s="801"/>
      <c r="O675" s="801"/>
      <c r="P675" s="801"/>
      <c r="Q675" s="801"/>
      <c r="R675" s="801"/>
      <c r="S675" s="801"/>
      <c r="T675" s="801"/>
      <c r="U675" s="801"/>
      <c r="V675" s="801"/>
      <c r="W675" s="801"/>
      <c r="X675" s="801"/>
      <c r="Y675" s="801"/>
    </row>
    <row r="676" spans="4:29" ht="27.75" customHeight="1">
      <c r="D676" s="801" t="s">
        <v>1052</v>
      </c>
      <c r="E676" s="801"/>
      <c r="F676" s="801"/>
      <c r="G676" s="801"/>
      <c r="H676" s="801"/>
      <c r="I676" s="801"/>
      <c r="J676" s="801"/>
      <c r="K676" s="801"/>
      <c r="L676" s="801"/>
      <c r="M676" s="801"/>
      <c r="N676" s="801"/>
      <c r="O676" s="801"/>
      <c r="P676" s="801"/>
      <c r="Q676" s="801"/>
      <c r="R676" s="801"/>
      <c r="S676" s="801"/>
      <c r="T676" s="801"/>
      <c r="U676" s="801"/>
      <c r="V676" s="801"/>
      <c r="W676" s="801"/>
      <c r="X676" s="801"/>
      <c r="Y676" s="801"/>
    </row>
    <row r="677" spans="4:29">
      <c r="D677" s="729"/>
      <c r="E677" s="729"/>
      <c r="F677" s="729"/>
      <c r="G677" s="729"/>
      <c r="H677" s="729"/>
      <c r="I677" s="729"/>
      <c r="J677" s="729"/>
      <c r="K677" s="729"/>
      <c r="L677" s="729"/>
      <c r="M677" s="729"/>
      <c r="N677" s="729"/>
      <c r="O677" s="729"/>
      <c r="P677" s="729"/>
      <c r="Q677" s="729"/>
      <c r="R677" s="729"/>
      <c r="S677" s="729"/>
      <c r="T677" s="729"/>
      <c r="U677" s="729"/>
      <c r="V677" s="729"/>
      <c r="W677" s="729"/>
      <c r="X677" s="729"/>
      <c r="Y677" s="729"/>
    </row>
    <row r="678" spans="4:29">
      <c r="D678" s="729"/>
      <c r="E678" s="729"/>
      <c r="F678" s="729"/>
      <c r="G678" s="729"/>
      <c r="H678" s="729"/>
      <c r="I678" s="729"/>
      <c r="J678" s="729"/>
      <c r="K678" s="729"/>
      <c r="L678" s="729"/>
      <c r="M678" s="729"/>
      <c r="N678" s="729"/>
      <c r="O678" s="729"/>
      <c r="P678" s="729"/>
      <c r="Q678" s="729"/>
      <c r="R678" s="729"/>
      <c r="S678" s="729"/>
      <c r="T678" s="729"/>
      <c r="U678" s="729"/>
      <c r="V678" s="729"/>
      <c r="W678" s="729"/>
      <c r="X678" s="729"/>
      <c r="Y678" s="729"/>
    </row>
    <row r="679" spans="4:29">
      <c r="E679" s="729"/>
      <c r="F679" s="729"/>
      <c r="G679" s="729"/>
      <c r="H679" s="729"/>
      <c r="I679" s="729"/>
      <c r="J679" s="729"/>
      <c r="K679" s="729"/>
      <c r="L679" s="729"/>
      <c r="N679" s="729"/>
      <c r="O679" s="729"/>
      <c r="Q679" s="729"/>
      <c r="R679" s="729"/>
      <c r="T679" s="729"/>
      <c r="U679" s="729"/>
      <c r="W679" s="729"/>
      <c r="X679" s="729"/>
    </row>
    <row r="680" spans="4:29">
      <c r="D680" s="786" t="s">
        <v>881</v>
      </c>
      <c r="E680" s="786" t="s">
        <v>1058</v>
      </c>
      <c r="F680" s="786"/>
      <c r="G680" s="786"/>
      <c r="H680" s="786"/>
      <c r="I680" s="786"/>
      <c r="J680" s="786"/>
      <c r="K680" s="786" t="s">
        <v>1057</v>
      </c>
      <c r="L680" s="786"/>
      <c r="M680" s="786"/>
      <c r="N680" s="786"/>
      <c r="O680" s="786"/>
      <c r="P680" s="786"/>
      <c r="Q680" s="786"/>
      <c r="R680" s="786"/>
      <c r="S680" s="786"/>
      <c r="T680" s="786"/>
      <c r="U680" s="786"/>
      <c r="V680" s="786"/>
      <c r="W680" s="786"/>
      <c r="X680" s="786"/>
      <c r="Y680" s="786"/>
    </row>
    <row r="681" spans="4:29">
      <c r="D681" s="786"/>
      <c r="E681" s="786"/>
      <c r="F681" s="786"/>
      <c r="G681" s="786"/>
      <c r="H681" s="786"/>
      <c r="I681" s="786"/>
      <c r="J681" s="786"/>
      <c r="K681" s="786" t="s">
        <v>1056</v>
      </c>
      <c r="L681" s="786"/>
      <c r="M681" s="786"/>
      <c r="N681" s="786" t="s">
        <v>1056</v>
      </c>
      <c r="O681" s="786"/>
      <c r="P681" s="786"/>
      <c r="Q681" s="786" t="s">
        <v>1056</v>
      </c>
      <c r="R681" s="786"/>
      <c r="S681" s="786"/>
      <c r="T681" s="786" t="s">
        <v>1056</v>
      </c>
      <c r="U681" s="786"/>
      <c r="V681" s="786"/>
      <c r="W681" s="786" t="s">
        <v>1056</v>
      </c>
      <c r="X681" s="786"/>
      <c r="Y681" s="786"/>
    </row>
    <row r="682" spans="4:29" ht="31.5" customHeight="1">
      <c r="D682" s="786"/>
      <c r="E682" s="786"/>
      <c r="F682" s="786"/>
      <c r="G682" s="786"/>
      <c r="H682" s="786"/>
      <c r="I682" s="786"/>
      <c r="J682" s="786"/>
      <c r="K682" s="848" t="s">
        <v>1055</v>
      </c>
      <c r="L682" s="848"/>
      <c r="M682" s="9" t="s">
        <v>1054</v>
      </c>
      <c r="N682" s="848" t="s">
        <v>1055</v>
      </c>
      <c r="O682" s="848"/>
      <c r="P682" s="9" t="s">
        <v>1054</v>
      </c>
      <c r="Q682" s="848" t="s">
        <v>1055</v>
      </c>
      <c r="R682" s="848"/>
      <c r="S682" s="9" t="s">
        <v>1054</v>
      </c>
      <c r="T682" s="848" t="s">
        <v>1055</v>
      </c>
      <c r="U682" s="848"/>
      <c r="V682" s="9" t="s">
        <v>1054</v>
      </c>
      <c r="W682" s="848" t="s">
        <v>1055</v>
      </c>
      <c r="X682" s="848"/>
      <c r="Y682" s="9" t="s">
        <v>1054</v>
      </c>
    </row>
    <row r="683" spans="4:29" ht="21.75" customHeight="1">
      <c r="D683" s="9">
        <v>1</v>
      </c>
      <c r="E683" s="786" t="str">
        <f>+'10.Grain Production details'!A42</f>
        <v>Soybean</v>
      </c>
      <c r="F683" s="786"/>
      <c r="G683" s="786"/>
      <c r="H683" s="786"/>
      <c r="I683" s="786"/>
      <c r="J683" s="786"/>
      <c r="K683" s="979">
        <f>(('10.Grain Production details'!B42+'10.Grain Production details'!B67)*100)/1000</f>
        <v>0</v>
      </c>
      <c r="L683" s="979"/>
      <c r="M683" s="523" t="e">
        <f>+K683/AC683</f>
        <v>#DIV/0!</v>
      </c>
      <c r="N683" s="979">
        <f>(('10.Grain Production details'!C42+'10.Grain Production details'!C67)*100)/1000</f>
        <v>0</v>
      </c>
      <c r="O683" s="979"/>
      <c r="P683" s="523" t="e">
        <f>+N683/AC683</f>
        <v>#DIV/0!</v>
      </c>
      <c r="Q683" s="979">
        <f>(('10.Grain Production details'!D42+'10.Grain Production details'!D67)*100)/1000</f>
        <v>0</v>
      </c>
      <c r="R683" s="979"/>
      <c r="S683" s="523" t="e">
        <f>+Q683/AC683</f>
        <v>#DIV/0!</v>
      </c>
      <c r="T683" s="979">
        <f>(('10.Grain Production details'!E42+'10.Grain Production details'!E67)*100)/1000</f>
        <v>0</v>
      </c>
      <c r="U683" s="979"/>
      <c r="V683" s="523" t="e">
        <f>+T683/AC683</f>
        <v>#DIV/0!</v>
      </c>
      <c r="W683" s="979">
        <f>(('10.Grain Production details'!F42+'10.Grain Production details'!F67)*100)/1000</f>
        <v>0</v>
      </c>
      <c r="X683" s="979"/>
      <c r="Y683" s="523" t="e">
        <f>+W683/AC683</f>
        <v>#DIV/0!</v>
      </c>
      <c r="AC683">
        <f>+'10.Grain Production details'!H14*100/1000</f>
        <v>0</v>
      </c>
    </row>
    <row r="684" spans="4:29" ht="21.75" customHeight="1">
      <c r="D684" s="9">
        <v>2</v>
      </c>
      <c r="E684" s="786" t="str">
        <f>+'10.Grain Production details'!A43</f>
        <v>Red Gram/Tur</v>
      </c>
      <c r="F684" s="786"/>
      <c r="G684" s="786"/>
      <c r="H684" s="786"/>
      <c r="I684" s="786"/>
      <c r="J684" s="786"/>
      <c r="K684" s="979">
        <f>(('10.Grain Production details'!B43+'10.Grain Production details'!B68)*100)/1000</f>
        <v>1360.4502844800002</v>
      </c>
      <c r="L684" s="979"/>
      <c r="M684" s="523">
        <f t="shared" ref="M684:M694" si="2">+K684/AC684</f>
        <v>0.5</v>
      </c>
      <c r="N684" s="979">
        <f>(('10.Grain Production details'!C43+'10.Grain Production details'!C68)*100)/1000</f>
        <v>1496.4953129280002</v>
      </c>
      <c r="O684" s="979"/>
      <c r="P684" s="523">
        <f>+N684/AC684</f>
        <v>0.55000000000000004</v>
      </c>
      <c r="Q684" s="979">
        <f>(('10.Grain Production details'!D43+'10.Grain Production details'!D68)*100)/1000</f>
        <v>1632.5403413760005</v>
      </c>
      <c r="R684" s="979"/>
      <c r="S684" s="523">
        <f>+Q684/AC684</f>
        <v>0.60000000000000009</v>
      </c>
      <c r="T684" s="979">
        <f>(('10.Grain Production details'!E43+'10.Grain Production details'!E68)*100)/1000</f>
        <v>1768.5853698240005</v>
      </c>
      <c r="U684" s="979"/>
      <c r="V684" s="523">
        <f>+T684/AC684</f>
        <v>0.65000000000000013</v>
      </c>
      <c r="W684" s="979">
        <f>(('10.Grain Production details'!F43+'10.Grain Production details'!F68)*100)/1000</f>
        <v>1904.6303982720005</v>
      </c>
      <c r="X684" s="979"/>
      <c r="Y684" s="523">
        <f>+W684/AC684</f>
        <v>0.70000000000000007</v>
      </c>
      <c r="AC684">
        <f>+'10.Grain Production details'!H15*100/1000</f>
        <v>2720.9005689600003</v>
      </c>
    </row>
    <row r="685" spans="4:29" ht="21.75" hidden="1" customHeight="1">
      <c r="D685" s="9">
        <v>3</v>
      </c>
      <c r="E685" s="786" t="str">
        <f>+'10.Grain Production details'!A44</f>
        <v>Paddy/Rice</v>
      </c>
      <c r="F685" s="786"/>
      <c r="G685" s="786"/>
      <c r="H685" s="786"/>
      <c r="I685" s="786"/>
      <c r="J685" s="786"/>
      <c r="K685" s="979"/>
      <c r="L685" s="979"/>
      <c r="M685" s="523"/>
      <c r="N685" s="979"/>
      <c r="O685" s="979"/>
      <c r="P685" s="524"/>
      <c r="Q685" s="979"/>
      <c r="R685" s="979"/>
      <c r="S685" s="524"/>
      <c r="T685" s="979"/>
      <c r="U685" s="979"/>
      <c r="V685" s="524"/>
      <c r="W685" s="979"/>
      <c r="X685" s="979"/>
      <c r="Y685" s="260"/>
      <c r="AC685">
        <f>+'10.Grain Production details'!H16*100/1000</f>
        <v>0</v>
      </c>
    </row>
    <row r="686" spans="4:29" ht="21.75" hidden="1" customHeight="1">
      <c r="D686" s="9">
        <v>4</v>
      </c>
      <c r="E686" s="786" t="str">
        <f>+'10.Grain Production details'!A45</f>
        <v>Green Gram/ Moong</v>
      </c>
      <c r="F686" s="786"/>
      <c r="G686" s="786"/>
      <c r="H686" s="786"/>
      <c r="I686" s="786"/>
      <c r="J686" s="786"/>
      <c r="K686" s="979">
        <f>(('10.Grain Production details'!B45+'10.Grain Production details'!B70)*100)/1000</f>
        <v>0</v>
      </c>
      <c r="L686" s="979"/>
      <c r="M686" s="523" t="e">
        <f t="shared" si="2"/>
        <v>#DIV/0!</v>
      </c>
      <c r="N686" s="979">
        <f>(('10.Grain Production details'!C45+'10.Grain Production details'!C70)*100)/1000</f>
        <v>0</v>
      </c>
      <c r="O686" s="979"/>
      <c r="P686" s="523" t="e">
        <f>+N686/AC686</f>
        <v>#DIV/0!</v>
      </c>
      <c r="Q686" s="979">
        <f>(('10.Grain Production details'!D45+'10.Grain Production details'!D70)*100)/1000</f>
        <v>0</v>
      </c>
      <c r="R686" s="979"/>
      <c r="S686" s="523" t="e">
        <f>+Q686/AC686</f>
        <v>#DIV/0!</v>
      </c>
      <c r="T686" s="979">
        <f>(('10.Grain Production details'!E45+'10.Grain Production details'!E70)*100)/1000</f>
        <v>0</v>
      </c>
      <c r="U686" s="979"/>
      <c r="V686" s="523" t="e">
        <f>+T686/AC686</f>
        <v>#DIV/0!</v>
      </c>
      <c r="W686" s="979">
        <f>(('10.Grain Production details'!F45+'10.Grain Production details'!F70)*100)/1000</f>
        <v>0</v>
      </c>
      <c r="X686" s="979"/>
      <c r="Y686" s="523" t="e">
        <f>+W686/AC686</f>
        <v>#DIV/0!</v>
      </c>
      <c r="AC686">
        <f>+'10.Grain Production details'!H17*100/1000</f>
        <v>0</v>
      </c>
    </row>
    <row r="687" spans="4:29" ht="21.75" customHeight="1">
      <c r="D687" s="9">
        <v>3</v>
      </c>
      <c r="E687" s="786" t="str">
        <f>+'10.Grain Production details'!A46</f>
        <v>Maize</v>
      </c>
      <c r="F687" s="786"/>
      <c r="G687" s="786"/>
      <c r="H687" s="786"/>
      <c r="I687" s="786"/>
      <c r="J687" s="786"/>
      <c r="K687" s="979">
        <f>(('10.Grain Production details'!B46+'10.Grain Production details'!B71)*100)/1000</f>
        <v>0</v>
      </c>
      <c r="L687" s="979"/>
      <c r="M687" s="523" t="e">
        <f t="shared" si="2"/>
        <v>#DIV/0!</v>
      </c>
      <c r="N687" s="979">
        <f>(('10.Grain Production details'!C46+'10.Grain Production details'!C71)*100)/1000</f>
        <v>0</v>
      </c>
      <c r="O687" s="979"/>
      <c r="P687" s="523" t="e">
        <f>+N687/AC687</f>
        <v>#DIV/0!</v>
      </c>
      <c r="Q687" s="979">
        <f>(('10.Grain Production details'!D46+'10.Grain Production details'!D71)*100)/1000</f>
        <v>0</v>
      </c>
      <c r="R687" s="979"/>
      <c r="S687" s="523" t="e">
        <f>+Q687/AC687</f>
        <v>#DIV/0!</v>
      </c>
      <c r="T687" s="979">
        <f>(('10.Grain Production details'!E46+'10.Grain Production details'!E71)*100)/1000</f>
        <v>0</v>
      </c>
      <c r="U687" s="979"/>
      <c r="V687" s="523" t="e">
        <f>+T687/AC687</f>
        <v>#DIV/0!</v>
      </c>
      <c r="W687" s="979">
        <f>(('10.Grain Production details'!F46+'10.Grain Production details'!F71)*100)/1000</f>
        <v>0</v>
      </c>
      <c r="X687" s="979"/>
      <c r="Y687" s="523" t="e">
        <f>+W687/AC687</f>
        <v>#DIV/0!</v>
      </c>
      <c r="AC687">
        <f>+'10.Grain Production details'!H18*100/1000</f>
        <v>0</v>
      </c>
    </row>
    <row r="688" spans="4:29" ht="21.75" hidden="1" customHeight="1">
      <c r="D688" s="9">
        <v>6</v>
      </c>
      <c r="E688" s="786" t="str">
        <f>+'10.Grain Production details'!A47</f>
        <v>Black Gram/Udid</v>
      </c>
      <c r="F688" s="786"/>
      <c r="G688" s="786"/>
      <c r="H688" s="786"/>
      <c r="I688" s="786"/>
      <c r="J688" s="786"/>
      <c r="K688" s="979"/>
      <c r="L688" s="979"/>
      <c r="M688" s="523"/>
      <c r="N688" s="979"/>
      <c r="O688" s="979"/>
      <c r="P688" s="524"/>
      <c r="Q688" s="979"/>
      <c r="R688" s="979"/>
      <c r="S688" s="524"/>
      <c r="T688" s="979"/>
      <c r="U688" s="979"/>
      <c r="V688" s="524"/>
      <c r="W688" s="979"/>
      <c r="X688" s="979"/>
      <c r="Y688" s="523"/>
      <c r="AC688">
        <f>+'10.Grain Production details'!H19*100/1000</f>
        <v>0</v>
      </c>
    </row>
    <row r="689" spans="4:29" ht="21.75" customHeight="1">
      <c r="D689" s="9">
        <v>4</v>
      </c>
      <c r="E689" s="786" t="str">
        <f>+'10.Grain Production details'!A48</f>
        <v>Bajra</v>
      </c>
      <c r="F689" s="786"/>
      <c r="G689" s="786"/>
      <c r="H689" s="786"/>
      <c r="I689" s="786"/>
      <c r="J689" s="786"/>
      <c r="K689" s="979">
        <f>(('10.Grain Production details'!B48+'10.Grain Production details'!B73)*100)/1000</f>
        <v>0</v>
      </c>
      <c r="L689" s="979"/>
      <c r="M689" s="523" t="e">
        <f t="shared" si="2"/>
        <v>#DIV/0!</v>
      </c>
      <c r="N689" s="979">
        <f>(('10.Grain Production details'!C48+'10.Grain Production details'!C73)*100)/1000</f>
        <v>0</v>
      </c>
      <c r="O689" s="979"/>
      <c r="P689" s="523" t="e">
        <f>+N689/AC689</f>
        <v>#DIV/0!</v>
      </c>
      <c r="Q689" s="979">
        <f>(('10.Grain Production details'!D48+'10.Grain Production details'!D73)*100)/1000</f>
        <v>0</v>
      </c>
      <c r="R689" s="979"/>
      <c r="S689" s="523" t="e">
        <f>+Q689/AC689</f>
        <v>#DIV/0!</v>
      </c>
      <c r="T689" s="979">
        <f>(('10.Grain Production details'!E48+'10.Grain Production details'!E73)*100)/1000</f>
        <v>0</v>
      </c>
      <c r="U689" s="979"/>
      <c r="V689" s="523" t="e">
        <f>+T689/AC689</f>
        <v>#DIV/0!</v>
      </c>
      <c r="W689" s="979">
        <f>(('10.Grain Production details'!F48+'10.Grain Production details'!F73)*100)/1000</f>
        <v>0</v>
      </c>
      <c r="X689" s="979"/>
      <c r="Y689" s="523" t="e">
        <f>+W689/AC689</f>
        <v>#DIV/0!</v>
      </c>
      <c r="AC689">
        <f>+'10.Grain Production details'!H20*100/1000</f>
        <v>0</v>
      </c>
    </row>
    <row r="690" spans="4:29" ht="21.75" hidden="1" customHeight="1">
      <c r="D690" s="9">
        <v>8</v>
      </c>
      <c r="E690" s="786" t="str">
        <f>+'10.Grain Production details'!A49</f>
        <v>Jawar</v>
      </c>
      <c r="F690" s="786"/>
      <c r="G690" s="786"/>
      <c r="H690" s="786"/>
      <c r="I690" s="786"/>
      <c r="J690" s="786"/>
      <c r="K690" s="979"/>
      <c r="L690" s="979"/>
      <c r="M690" s="523"/>
      <c r="N690" s="979"/>
      <c r="O690" s="979"/>
      <c r="P690" s="524"/>
      <c r="Q690" s="979"/>
      <c r="R690" s="979"/>
      <c r="S690" s="524"/>
      <c r="T690" s="979"/>
      <c r="U690" s="979"/>
      <c r="V690" s="524"/>
      <c r="W690" s="979"/>
      <c r="X690" s="979"/>
      <c r="Y690" s="260"/>
      <c r="AC690">
        <f>+'10.Grain Production details'!H21*100/1000</f>
        <v>0</v>
      </c>
    </row>
    <row r="691" spans="4:29" ht="21.75" hidden="1" customHeight="1">
      <c r="D691" s="9">
        <v>9</v>
      </c>
      <c r="E691" s="786" t="str">
        <f>+'10.Grain Production details'!A50</f>
        <v>Sunflower</v>
      </c>
      <c r="F691" s="786"/>
      <c r="G691" s="786"/>
      <c r="H691" s="786"/>
      <c r="I691" s="786"/>
      <c r="J691" s="786"/>
      <c r="K691" s="979"/>
      <c r="L691" s="979"/>
      <c r="M691" s="523"/>
      <c r="N691" s="979"/>
      <c r="O691" s="979"/>
      <c r="P691" s="524"/>
      <c r="Q691" s="979"/>
      <c r="R691" s="979"/>
      <c r="S691" s="524"/>
      <c r="T691" s="979"/>
      <c r="U691" s="979"/>
      <c r="V691" s="524"/>
      <c r="W691" s="979"/>
      <c r="X691" s="979"/>
      <c r="Y691" s="260"/>
      <c r="AC691">
        <f>+'10.Grain Production details'!H22*100/1000</f>
        <v>0</v>
      </c>
    </row>
    <row r="692" spans="4:29" ht="21.75" customHeight="1">
      <c r="D692" s="9">
        <v>5</v>
      </c>
      <c r="E692" s="786" t="str">
        <f>+'10.Grain Production details'!A51</f>
        <v>Wheat</v>
      </c>
      <c r="F692" s="786"/>
      <c r="G692" s="786"/>
      <c r="H692" s="786"/>
      <c r="I692" s="786"/>
      <c r="J692" s="786"/>
      <c r="K692" s="979">
        <f>(('10.Grain Production details'!B51+'10.Grain Production details'!B76)*100)/1000</f>
        <v>0</v>
      </c>
      <c r="L692" s="979"/>
      <c r="M692" s="523" t="e">
        <f t="shared" si="2"/>
        <v>#DIV/0!</v>
      </c>
      <c r="N692" s="979">
        <f>(('10.Grain Production details'!C51+'10.Grain Production details'!C76)*100)/1000</f>
        <v>0</v>
      </c>
      <c r="O692" s="979"/>
      <c r="P692" s="523" t="e">
        <f>+N692/AC692</f>
        <v>#DIV/0!</v>
      </c>
      <c r="Q692" s="979">
        <f>(('10.Grain Production details'!D51+'10.Grain Production details'!D76)*100)/1000</f>
        <v>0</v>
      </c>
      <c r="R692" s="979"/>
      <c r="S692" s="523" t="e">
        <f>+Q692/AC692</f>
        <v>#DIV/0!</v>
      </c>
      <c r="T692" s="979">
        <f>(('10.Grain Production details'!E51+'10.Grain Production details'!E76)*100)/1000</f>
        <v>0</v>
      </c>
      <c r="U692" s="979"/>
      <c r="V692" s="523" t="e">
        <f>+T692/AC692</f>
        <v>#DIV/0!</v>
      </c>
      <c r="W692" s="979">
        <f>(('10.Grain Production details'!F51+'10.Grain Production details'!F76)*100)/1000</f>
        <v>0</v>
      </c>
      <c r="X692" s="979"/>
      <c r="Y692" s="523" t="e">
        <f>+W692/AC692</f>
        <v>#DIV/0!</v>
      </c>
      <c r="AC692">
        <f>+'10.Grain Production details'!H24*100/1000</f>
        <v>0</v>
      </c>
    </row>
    <row r="693" spans="4:29" ht="21.75" customHeight="1">
      <c r="D693" s="9">
        <v>6</v>
      </c>
      <c r="E693" s="786" t="str">
        <f>+'10.Grain Production details'!A52</f>
        <v>Bengal Gram/Channa</v>
      </c>
      <c r="F693" s="786"/>
      <c r="G693" s="786"/>
      <c r="H693" s="786"/>
      <c r="I693" s="786"/>
      <c r="J693" s="786"/>
      <c r="K693" s="979">
        <f>(('10.Grain Production details'!B52+'10.Grain Production details'!B77)*100)/1000</f>
        <v>1135.2222000000002</v>
      </c>
      <c r="L693" s="979"/>
      <c r="M693" s="523">
        <f t="shared" si="2"/>
        <v>0.5</v>
      </c>
      <c r="N693" s="979">
        <f>(('10.Grain Production details'!C52+'10.Grain Production details'!C77)*100)/1000</f>
        <v>1248.7444200000004</v>
      </c>
      <c r="O693" s="979"/>
      <c r="P693" s="523">
        <f>+N693/AC693</f>
        <v>0.55000000000000016</v>
      </c>
      <c r="Q693" s="979">
        <f>(('10.Grain Production details'!D52+'10.Grain Production details'!D77)*100)/1000</f>
        <v>1362.2666400000003</v>
      </c>
      <c r="R693" s="979"/>
      <c r="S693" s="523">
        <f>+Q693/AC693</f>
        <v>0.60000000000000009</v>
      </c>
      <c r="T693" s="979">
        <f>(('10.Grain Production details'!E52+'10.Grain Production details'!E77)*100)/1000</f>
        <v>1475.7888600000006</v>
      </c>
      <c r="U693" s="979"/>
      <c r="V693" s="523">
        <f>+T693/AC693</f>
        <v>0.65000000000000013</v>
      </c>
      <c r="W693" s="979">
        <f>(('10.Grain Production details'!F52+'10.Grain Production details'!F77)*100)/1000</f>
        <v>1589.3110800000006</v>
      </c>
      <c r="X693" s="979"/>
      <c r="Y693" s="523">
        <f>+W693/AC693</f>
        <v>0.70000000000000018</v>
      </c>
      <c r="AC693">
        <f>+'10.Grain Production details'!H25*100/1000</f>
        <v>2270.4444000000003</v>
      </c>
    </row>
    <row r="694" spans="4:29" ht="21.75" customHeight="1">
      <c r="D694" s="9">
        <v>7</v>
      </c>
      <c r="E694" s="786" t="str">
        <f>+'10.Grain Production details'!A53</f>
        <v>Jawar</v>
      </c>
      <c r="F694" s="786"/>
      <c r="G694" s="786"/>
      <c r="H694" s="786"/>
      <c r="I694" s="786"/>
      <c r="J694" s="786"/>
      <c r="K694" s="979">
        <f>(('10.Grain Production details'!B53+'10.Grain Production details'!B78)*100)/1000</f>
        <v>0</v>
      </c>
      <c r="L694" s="979"/>
      <c r="M694" s="523" t="e">
        <f t="shared" si="2"/>
        <v>#DIV/0!</v>
      </c>
      <c r="N694" s="979">
        <f>(('10.Grain Production details'!C53+'10.Grain Production details'!C78)*100)/1000</f>
        <v>0</v>
      </c>
      <c r="O694" s="979"/>
      <c r="P694" s="523" t="e">
        <f>+N694/AC694</f>
        <v>#DIV/0!</v>
      </c>
      <c r="Q694" s="979">
        <f>(('10.Grain Production details'!D53+'10.Grain Production details'!D78)*100)/1000</f>
        <v>0</v>
      </c>
      <c r="R694" s="979"/>
      <c r="S694" s="523" t="e">
        <f>+Q694/AC694</f>
        <v>#DIV/0!</v>
      </c>
      <c r="T694" s="979">
        <f>(('10.Grain Production details'!E53+'10.Grain Production details'!E78)*100)/1000</f>
        <v>0</v>
      </c>
      <c r="U694" s="979"/>
      <c r="V694" s="523" t="e">
        <f>+T694/AC694</f>
        <v>#DIV/0!</v>
      </c>
      <c r="W694" s="979">
        <f>(('10.Grain Production details'!F53+'10.Grain Production details'!F78)*100)/1000</f>
        <v>0</v>
      </c>
      <c r="X694" s="979"/>
      <c r="Y694" s="523" t="e">
        <f>+W694/AC694</f>
        <v>#DIV/0!</v>
      </c>
      <c r="AC694">
        <f>+'10.Grain Production details'!H26*100/1000</f>
        <v>0</v>
      </c>
    </row>
    <row r="695" spans="4:29" ht="21.75" customHeight="1">
      <c r="D695" s="9"/>
      <c r="E695" s="786"/>
      <c r="F695" s="786"/>
      <c r="G695" s="786"/>
      <c r="H695" s="786"/>
      <c r="I695" s="786"/>
      <c r="J695" s="786"/>
      <c r="K695" s="979"/>
      <c r="L695" s="979"/>
      <c r="M695" s="523"/>
      <c r="N695" s="979"/>
      <c r="O695" s="979"/>
      <c r="P695" s="523"/>
      <c r="Q695" s="979"/>
      <c r="R695" s="979"/>
      <c r="S695" s="523"/>
      <c r="T695" s="979"/>
      <c r="U695" s="979"/>
      <c r="V695" s="523"/>
      <c r="W695" s="979"/>
      <c r="X695" s="979"/>
      <c r="Y695" s="523"/>
      <c r="AC695">
        <f>+'10.Grain Production details'!H27*100/1000</f>
        <v>0</v>
      </c>
    </row>
    <row r="696" spans="4:29" ht="21.75" customHeight="1">
      <c r="D696" s="9"/>
      <c r="E696" s="786"/>
      <c r="F696" s="786"/>
      <c r="G696" s="786"/>
      <c r="H696" s="786"/>
      <c r="I696" s="786"/>
      <c r="J696" s="786"/>
      <c r="K696" s="979"/>
      <c r="L696" s="979"/>
      <c r="M696" s="523"/>
      <c r="N696" s="979"/>
      <c r="O696" s="979"/>
      <c r="P696" s="524"/>
      <c r="Q696" s="979"/>
      <c r="R696" s="979"/>
      <c r="S696" s="524"/>
      <c r="T696" s="979"/>
      <c r="U696" s="979"/>
      <c r="V696" s="524"/>
      <c r="W696" s="979"/>
      <c r="X696" s="979"/>
      <c r="Y696" s="260"/>
      <c r="AC696">
        <f>+'10.Grain Production details'!H28*100/1000</f>
        <v>0</v>
      </c>
    </row>
    <row r="697" spans="4:29" ht="21.75" hidden="1" customHeight="1">
      <c r="D697" s="9">
        <v>15</v>
      </c>
      <c r="E697" s="786" t="str">
        <f>+'11.F&amp;V Crop Production details'!A48</f>
        <v>Exotic Vegitables</v>
      </c>
      <c r="F697" s="786"/>
      <c r="G697" s="786"/>
      <c r="H697" s="786"/>
      <c r="I697" s="786"/>
      <c r="J697" s="786"/>
      <c r="K697" s="979">
        <f>('11.F&amp;V Crop Production details'!B48*100)/1000</f>
        <v>0</v>
      </c>
      <c r="L697" s="979"/>
      <c r="M697" s="523" t="e">
        <f>+K697/AC697</f>
        <v>#DIV/0!</v>
      </c>
      <c r="N697" s="979">
        <f>+'11.F&amp;V Crop Production details'!C48*0.1</f>
        <v>0</v>
      </c>
      <c r="O697" s="979"/>
      <c r="P697" s="523" t="e">
        <f>+N697/AC697</f>
        <v>#DIV/0!</v>
      </c>
      <c r="Q697" s="979">
        <f>+'11.F&amp;V Crop Production details'!D48*0.1</f>
        <v>0</v>
      </c>
      <c r="R697" s="979"/>
      <c r="S697" s="523" t="e">
        <f>+Q697/AC697</f>
        <v>#DIV/0!</v>
      </c>
      <c r="T697" s="979">
        <f>+'11.F&amp;V Crop Production details'!E48*0.1</f>
        <v>0</v>
      </c>
      <c r="U697" s="979"/>
      <c r="V697" s="523" t="e">
        <f>+T697/AC697</f>
        <v>#DIV/0!</v>
      </c>
      <c r="W697" s="979">
        <f>+'11.F&amp;V Crop Production details'!F48*0.1</f>
        <v>0</v>
      </c>
      <c r="X697" s="979"/>
      <c r="Y697" s="523" t="e">
        <f>+W697/AC697</f>
        <v>#DIV/0!</v>
      </c>
      <c r="AC697">
        <f>+'11.F&amp;V Crop Production details'!H14*100/1000</f>
        <v>0</v>
      </c>
    </row>
    <row r="698" spans="4:29" ht="21.75" hidden="1" customHeight="1">
      <c r="D698" s="9">
        <v>16</v>
      </c>
      <c r="E698" s="786" t="str">
        <f>+'11.F&amp;V Crop Production details'!A49</f>
        <v>Tomato</v>
      </c>
      <c r="F698" s="786"/>
      <c r="G698" s="786"/>
      <c r="H698" s="786"/>
      <c r="I698" s="786"/>
      <c r="J698" s="786"/>
      <c r="K698" s="979">
        <f>('11.F&amp;V Crop Production details'!B49*100)/1000</f>
        <v>0</v>
      </c>
      <c r="L698" s="979"/>
      <c r="M698" s="523" t="e">
        <f>+K698/AC698</f>
        <v>#DIV/0!</v>
      </c>
      <c r="N698" s="979">
        <f>+'11.F&amp;V Crop Production details'!C49*0.1</f>
        <v>0</v>
      </c>
      <c r="O698" s="979"/>
      <c r="P698" s="523" t="e">
        <f>+N698/AC698</f>
        <v>#DIV/0!</v>
      </c>
      <c r="Q698" s="979">
        <f>+'11.F&amp;V Crop Production details'!D49*0.1</f>
        <v>0</v>
      </c>
      <c r="R698" s="979"/>
      <c r="S698" s="523" t="e">
        <f>+Q698/AC698</f>
        <v>#DIV/0!</v>
      </c>
      <c r="T698" s="979">
        <f>+'11.F&amp;V Crop Production details'!E49*0.1</f>
        <v>0</v>
      </c>
      <c r="U698" s="979"/>
      <c r="V698" s="523" t="e">
        <f>+T698/AC698</f>
        <v>#DIV/0!</v>
      </c>
      <c r="W698" s="979">
        <f>+'11.F&amp;V Crop Production details'!F49*0.1</f>
        <v>0</v>
      </c>
      <c r="X698" s="979"/>
      <c r="Y698" s="523" t="e">
        <f>+W698/AC698</f>
        <v>#DIV/0!</v>
      </c>
      <c r="AC698">
        <f>+'11.F&amp;V Crop Production details'!H15*100/1000</f>
        <v>0</v>
      </c>
    </row>
    <row r="699" spans="4:29" ht="21.75" hidden="1" customHeight="1">
      <c r="D699" s="9">
        <v>17</v>
      </c>
      <c r="E699" s="786"/>
      <c r="F699" s="786"/>
      <c r="G699" s="786"/>
      <c r="H699" s="786"/>
      <c r="I699" s="786"/>
      <c r="J699" s="786"/>
      <c r="K699" s="855"/>
      <c r="L699" s="855"/>
      <c r="M699" s="260"/>
      <c r="N699" s="855"/>
      <c r="O699" s="855"/>
      <c r="P699" s="260"/>
      <c r="Q699" s="855"/>
      <c r="R699" s="855"/>
      <c r="S699" s="260"/>
      <c r="T699" s="979"/>
      <c r="U699" s="979"/>
      <c r="V699" s="260"/>
      <c r="W699" s="855"/>
      <c r="X699" s="855"/>
      <c r="Y699" s="260"/>
    </row>
    <row r="709" spans="4:25" ht="30" customHeight="1">
      <c r="D709" s="802" t="s">
        <v>1059</v>
      </c>
      <c r="E709" s="802"/>
      <c r="F709" s="802"/>
      <c r="G709" s="802"/>
      <c r="H709" s="802"/>
      <c r="I709" s="802"/>
      <c r="J709" s="802"/>
      <c r="K709" s="802"/>
      <c r="L709" s="802"/>
      <c r="M709" s="802"/>
      <c r="N709" s="802"/>
      <c r="O709" s="802"/>
      <c r="P709" s="802"/>
      <c r="Q709" s="802"/>
      <c r="R709" s="802"/>
      <c r="S709" s="802"/>
      <c r="T709" s="802"/>
      <c r="U709" s="802"/>
      <c r="V709" s="802"/>
      <c r="W709" s="802"/>
      <c r="X709" s="802"/>
      <c r="Y709" s="802"/>
    </row>
    <row r="710" spans="4:25" ht="30" customHeight="1">
      <c r="D710" s="449"/>
      <c r="E710" s="449"/>
      <c r="F710" s="449"/>
      <c r="G710" s="449"/>
      <c r="H710" s="449"/>
      <c r="I710" s="449"/>
      <c r="J710" s="449"/>
      <c r="K710" s="449"/>
      <c r="L710" s="449"/>
      <c r="M710" s="449"/>
      <c r="N710" s="449"/>
      <c r="O710" s="449"/>
      <c r="P710" s="449"/>
      <c r="Q710" s="449"/>
      <c r="R710" s="449"/>
      <c r="S710" s="449"/>
      <c r="T710" s="449"/>
      <c r="U710" s="449"/>
      <c r="V710" s="449"/>
      <c r="W710" s="449"/>
      <c r="X710" s="449"/>
      <c r="Y710" s="449"/>
    </row>
    <row r="711" spans="4:25" ht="30" customHeight="1">
      <c r="D711" s="1038" t="s">
        <v>1893</v>
      </c>
      <c r="E711" s="1038"/>
      <c r="F711" s="1038"/>
      <c r="G711" s="1038"/>
      <c r="H711" s="1038"/>
      <c r="I711" s="1038"/>
      <c r="J711" s="1038"/>
      <c r="K711" s="1038"/>
      <c r="L711" s="1038"/>
      <c r="M711" s="1038"/>
      <c r="N711" s="1038"/>
      <c r="O711" s="1038"/>
      <c r="P711" s="1038"/>
      <c r="Q711" s="1038"/>
      <c r="R711" s="1038"/>
      <c r="S711" s="1038"/>
      <c r="T711" s="1038"/>
      <c r="U711" s="1038"/>
      <c r="V711" s="1038"/>
      <c r="W711" s="1038"/>
      <c r="X711" s="1038"/>
      <c r="Y711" s="449"/>
    </row>
    <row r="712" spans="4:25" ht="30" customHeight="1">
      <c r="Y712" s="449"/>
    </row>
    <row r="713" spans="4:25" ht="30" customHeight="1">
      <c r="D713" s="1039" t="s">
        <v>1860</v>
      </c>
      <c r="E713" s="1039"/>
      <c r="F713" s="1039"/>
      <c r="G713" s="504"/>
      <c r="H713" s="504"/>
      <c r="I713" s="504"/>
      <c r="J713" s="1039" t="s">
        <v>1861</v>
      </c>
      <c r="K713" s="1039"/>
      <c r="L713" s="1039"/>
      <c r="M713" s="1039"/>
      <c r="N713" s="1039"/>
      <c r="O713" s="1039"/>
      <c r="P713" s="1039"/>
      <c r="Q713" s="5"/>
      <c r="R713" s="5"/>
      <c r="S713" s="504"/>
      <c r="T713" s="504"/>
      <c r="U713" s="504"/>
      <c r="V713" s="1039" t="s">
        <v>1862</v>
      </c>
      <c r="W713" s="1039"/>
      <c r="X713" s="1039"/>
      <c r="Y713" s="449"/>
    </row>
    <row r="714" spans="4:25" ht="30" customHeight="1">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449"/>
    </row>
    <row r="715" spans="4:25" ht="30" customHeight="1">
      <c r="D715" s="902" t="s">
        <v>1863</v>
      </c>
      <c r="E715" s="900"/>
      <c r="F715" s="901"/>
      <c r="G715" s="304"/>
      <c r="H715" s="304"/>
      <c r="I715" s="304"/>
      <c r="J715" s="304"/>
      <c r="K715" s="304"/>
      <c r="L715" s="902" t="s">
        <v>1864</v>
      </c>
      <c r="M715" s="900"/>
      <c r="N715" s="901"/>
      <c r="O715" s="304"/>
      <c r="P715" s="304"/>
      <c r="Q715" s="899" t="s">
        <v>1865</v>
      </c>
      <c r="R715" s="998"/>
      <c r="S715" s="999"/>
      <c r="T715" s="304"/>
      <c r="U715" s="304"/>
      <c r="V715" s="1006" t="s">
        <v>1894</v>
      </c>
      <c r="W715" s="1007"/>
      <c r="X715" s="1008"/>
      <c r="Y715" s="449"/>
    </row>
    <row r="716" spans="4:25" ht="30" customHeight="1">
      <c r="D716" s="304"/>
      <c r="E716" s="304"/>
      <c r="F716" s="304"/>
      <c r="G716" s="304"/>
      <c r="H716" s="304"/>
      <c r="I716" s="304"/>
      <c r="J716" s="304"/>
      <c r="K716" s="304"/>
      <c r="L716" s="304"/>
      <c r="M716" s="304"/>
      <c r="N716" s="304"/>
      <c r="O716" s="304"/>
      <c r="P716" s="304"/>
      <c r="Q716" s="304"/>
      <c r="R716" s="304"/>
      <c r="S716" s="304"/>
      <c r="T716" s="304"/>
      <c r="U716" s="304"/>
      <c r="V716" s="1040"/>
      <c r="W716" s="1014"/>
      <c r="X716" s="1041"/>
      <c r="Y716" s="449"/>
    </row>
    <row r="717" spans="4:25" ht="30" customHeight="1">
      <c r="D717" s="899" t="s">
        <v>1867</v>
      </c>
      <c r="E717" s="998"/>
      <c r="F717" s="999"/>
      <c r="G717" s="304"/>
      <c r="H717" s="304"/>
      <c r="I717" s="304"/>
      <c r="J717" s="304"/>
      <c r="K717" s="304"/>
      <c r="L717" s="899" t="s">
        <v>1868</v>
      </c>
      <c r="M717" s="998"/>
      <c r="N717" s="999"/>
      <c r="O717" s="304"/>
      <c r="P717" s="304"/>
      <c r="Q717" s="1042" t="s">
        <v>1895</v>
      </c>
      <c r="R717" s="1043"/>
      <c r="S717" s="1044"/>
      <c r="T717" s="304"/>
      <c r="U717" s="304"/>
      <c r="V717" s="1040"/>
      <c r="W717" s="1014"/>
      <c r="X717" s="1041"/>
      <c r="Y717" s="449"/>
    </row>
    <row r="718" spans="4:25" ht="30" customHeight="1">
      <c r="D718" s="304"/>
      <c r="E718" s="304"/>
      <c r="F718" s="304"/>
      <c r="G718" s="304"/>
      <c r="H718" s="304"/>
      <c r="I718" s="304"/>
      <c r="J718" s="304"/>
      <c r="K718" s="304"/>
      <c r="L718" s="304"/>
      <c r="M718" s="304"/>
      <c r="N718" s="304"/>
      <c r="O718" s="304"/>
      <c r="P718" s="304"/>
      <c r="Q718" s="304"/>
      <c r="R718" s="304"/>
      <c r="S718" s="304"/>
      <c r="T718" s="304"/>
      <c r="U718" s="304"/>
      <c r="V718" s="1040"/>
      <c r="W718" s="1014"/>
      <c r="X718" s="1041"/>
      <c r="Y718" s="449"/>
    </row>
    <row r="719" spans="4:25" ht="30" customHeight="1">
      <c r="D719" s="902" t="s">
        <v>1870</v>
      </c>
      <c r="E719" s="900"/>
      <c r="F719" s="901"/>
      <c r="G719" s="304"/>
      <c r="H719" s="304"/>
      <c r="I719" s="304"/>
      <c r="J719" s="304"/>
      <c r="K719" s="304"/>
      <c r="L719" s="899" t="s">
        <v>1896</v>
      </c>
      <c r="M719" s="998"/>
      <c r="N719" s="999"/>
      <c r="O719" s="304"/>
      <c r="P719" s="304"/>
      <c r="Q719" s="304"/>
      <c r="R719" s="304"/>
      <c r="S719" s="304"/>
      <c r="T719" s="304"/>
      <c r="U719" s="304"/>
      <c r="V719" s="1040"/>
      <c r="W719" s="1014"/>
      <c r="X719" s="1041"/>
      <c r="Y719" s="449"/>
    </row>
    <row r="720" spans="4:25" ht="30" customHeight="1">
      <c r="D720" s="304"/>
      <c r="E720" s="304"/>
      <c r="F720" s="304"/>
      <c r="G720" s="304"/>
      <c r="H720" s="304"/>
      <c r="I720" s="304"/>
      <c r="J720" s="304"/>
      <c r="K720" s="304"/>
      <c r="L720" s="304"/>
      <c r="M720" s="304"/>
      <c r="N720" s="304"/>
      <c r="O720" s="304"/>
      <c r="P720" s="304"/>
      <c r="Q720" s="1014"/>
      <c r="R720" s="1014"/>
      <c r="S720" s="1014"/>
      <c r="T720" s="304"/>
      <c r="U720" s="304"/>
      <c r="V720" s="1040"/>
      <c r="W720" s="1014"/>
      <c r="X720" s="1041"/>
      <c r="Y720" s="449"/>
    </row>
    <row r="721" spans="4:25" ht="30" customHeight="1">
      <c r="D721" s="1006" t="s">
        <v>1897</v>
      </c>
      <c r="E721" s="1007"/>
      <c r="F721" s="1008"/>
      <c r="G721" s="304"/>
      <c r="H721" s="304"/>
      <c r="I721" s="304"/>
      <c r="J721" s="304"/>
      <c r="K721" s="304"/>
      <c r="L721" s="1000" t="s">
        <v>1898</v>
      </c>
      <c r="M721" s="1001"/>
      <c r="N721" s="1002"/>
      <c r="O721" s="304"/>
      <c r="P721" s="304"/>
      <c r="Q721" s="1014"/>
      <c r="R721" s="1014"/>
      <c r="S721" s="1014"/>
      <c r="T721" s="304"/>
      <c r="U721" s="304"/>
      <c r="V721" s="1040"/>
      <c r="W721" s="1014"/>
      <c r="X721" s="1041"/>
      <c r="Y721" s="449"/>
    </row>
    <row r="722" spans="4:25" ht="30" customHeight="1">
      <c r="D722" s="1009"/>
      <c r="E722" s="1010"/>
      <c r="F722" s="1011"/>
      <c r="G722" s="304"/>
      <c r="H722" s="304"/>
      <c r="I722" s="304"/>
      <c r="J722" s="304"/>
      <c r="K722" s="304"/>
      <c r="L722" s="1003"/>
      <c r="M722" s="1004"/>
      <c r="N722" s="1005"/>
      <c r="O722" s="304"/>
      <c r="P722" s="304"/>
      <c r="Q722" s="1014"/>
      <c r="R722" s="1014"/>
      <c r="S722" s="1014"/>
      <c r="T722" s="304"/>
      <c r="U722" s="304"/>
      <c r="V722" s="1040"/>
      <c r="W722" s="1014"/>
      <c r="X722" s="1041"/>
      <c r="Y722" s="449"/>
    </row>
    <row r="723" spans="4:25" ht="30" customHeight="1">
      <c r="D723" s="304"/>
      <c r="E723" s="304"/>
      <c r="F723" s="304"/>
      <c r="G723" s="304"/>
      <c r="H723" s="304"/>
      <c r="I723" s="304"/>
      <c r="J723" s="304"/>
      <c r="K723" s="304"/>
      <c r="L723" s="304"/>
      <c r="M723" s="304"/>
      <c r="N723" s="304"/>
      <c r="O723" s="304"/>
      <c r="P723" s="304"/>
      <c r="Q723" s="304"/>
      <c r="R723" s="304"/>
      <c r="S723" s="304"/>
      <c r="T723" s="304"/>
      <c r="U723" s="304"/>
      <c r="V723" s="1040"/>
      <c r="W723" s="1014"/>
      <c r="X723" s="1041"/>
      <c r="Y723" s="449"/>
    </row>
    <row r="724" spans="4:25" ht="30" customHeight="1">
      <c r="D724" s="899" t="s">
        <v>1899</v>
      </c>
      <c r="E724" s="998"/>
      <c r="F724" s="999"/>
      <c r="G724" s="304"/>
      <c r="H724" s="304"/>
      <c r="I724" s="304"/>
      <c r="J724" s="304"/>
      <c r="K724" s="304"/>
      <c r="L724" s="304"/>
      <c r="M724" s="304"/>
      <c r="N724" s="304"/>
      <c r="O724" s="304"/>
      <c r="P724" s="304"/>
      <c r="Q724" s="1066" t="s">
        <v>1900</v>
      </c>
      <c r="R724" s="1067"/>
      <c r="S724" s="1068"/>
      <c r="T724" s="304"/>
      <c r="U724" s="304"/>
      <c r="V724" s="1040"/>
      <c r="W724" s="1014"/>
      <c r="X724" s="1041"/>
      <c r="Y724" s="449"/>
    </row>
    <row r="725" spans="4:25" ht="30" customHeight="1">
      <c r="D725" s="304"/>
      <c r="E725" s="304"/>
      <c r="F725" s="304"/>
      <c r="G725" s="304"/>
      <c r="H725" s="304"/>
      <c r="I725" s="304"/>
      <c r="J725" s="304"/>
      <c r="K725" s="304"/>
      <c r="L725" s="304"/>
      <c r="M725" s="304"/>
      <c r="N725" s="304"/>
      <c r="O725" s="304"/>
      <c r="P725" s="304"/>
      <c r="Q725" s="304"/>
      <c r="R725" s="304"/>
      <c r="S725" s="304"/>
      <c r="T725" s="304"/>
      <c r="U725" s="304"/>
      <c r="V725" s="1040"/>
      <c r="W725" s="1014"/>
      <c r="X725" s="1041"/>
      <c r="Y725" s="449"/>
    </row>
    <row r="726" spans="4:25" ht="40.5" customHeight="1">
      <c r="D726" s="899" t="s">
        <v>1901</v>
      </c>
      <c r="E726" s="998"/>
      <c r="F726" s="999"/>
      <c r="G726" s="304"/>
      <c r="H726" s="304"/>
      <c r="I726" s="304"/>
      <c r="J726" s="304"/>
      <c r="K726" s="304"/>
      <c r="L726" s="1069" t="s">
        <v>1895</v>
      </c>
      <c r="M726" s="1070"/>
      <c r="N726" s="1071"/>
      <c r="O726" s="304"/>
      <c r="P726" s="304"/>
      <c r="Q726" s="304"/>
      <c r="R726" s="304"/>
      <c r="S726" s="304"/>
      <c r="T726" s="304"/>
      <c r="U726" s="304"/>
      <c r="V726" s="1040"/>
      <c r="W726" s="1014"/>
      <c r="X726" s="1041"/>
      <c r="Y726" s="449"/>
    </row>
    <row r="727" spans="4:25" ht="30" customHeight="1">
      <c r="D727" s="304"/>
      <c r="E727" s="304"/>
      <c r="F727" s="304"/>
      <c r="G727" s="304"/>
      <c r="H727" s="304"/>
      <c r="I727" s="304"/>
      <c r="J727" s="304"/>
      <c r="K727" s="304"/>
      <c r="L727" s="304"/>
      <c r="M727" s="304"/>
      <c r="N727" s="304"/>
      <c r="O727" s="304"/>
      <c r="P727" s="304"/>
      <c r="Q727" s="304"/>
      <c r="R727" s="304"/>
      <c r="S727" s="304"/>
      <c r="T727" s="304"/>
      <c r="U727" s="304"/>
      <c r="V727" s="1040"/>
      <c r="W727" s="1014"/>
      <c r="X727" s="1041"/>
      <c r="Y727" s="449"/>
    </row>
    <row r="728" spans="4:25" ht="30" customHeight="1">
      <c r="D728" s="902" t="s">
        <v>1879</v>
      </c>
      <c r="E728" s="900"/>
      <c r="F728" s="901"/>
      <c r="G728" s="304"/>
      <c r="H728" s="304"/>
      <c r="I728" s="304"/>
      <c r="J728" s="304"/>
      <c r="K728" s="304"/>
      <c r="L728" s="899" t="s">
        <v>1880</v>
      </c>
      <c r="M728" s="998"/>
      <c r="N728" s="999"/>
      <c r="O728" s="304"/>
      <c r="P728" s="304"/>
      <c r="Q728" s="304"/>
      <c r="R728" s="304"/>
      <c r="S728" s="304"/>
      <c r="T728" s="304"/>
      <c r="U728" s="304"/>
      <c r="V728" s="1040"/>
      <c r="W728" s="1014"/>
      <c r="X728" s="1041"/>
      <c r="Y728" s="449"/>
    </row>
    <row r="729" spans="4:25" ht="30" customHeight="1">
      <c r="D729" s="449"/>
      <c r="E729" s="449"/>
      <c r="F729" s="449"/>
      <c r="G729" s="449"/>
      <c r="H729" s="449"/>
      <c r="I729" s="449"/>
      <c r="J729" s="449"/>
      <c r="K729" s="449"/>
      <c r="L729" s="449"/>
      <c r="M729" s="449"/>
      <c r="N729" s="449"/>
      <c r="O729" s="449"/>
      <c r="P729" s="449"/>
      <c r="Q729" s="449"/>
      <c r="R729" s="449"/>
      <c r="S729" s="449"/>
      <c r="T729" s="449"/>
      <c r="U729" s="449"/>
      <c r="V729" s="1040"/>
      <c r="W729" s="1014"/>
      <c r="X729" s="1041"/>
      <c r="Y729" s="449"/>
    </row>
    <row r="730" spans="4:25" ht="30" customHeight="1">
      <c r="D730" s="1000" t="s">
        <v>1902</v>
      </c>
      <c r="E730" s="1001"/>
      <c r="F730" s="1002"/>
      <c r="G730" s="449"/>
      <c r="H730" s="449"/>
      <c r="I730" s="449"/>
      <c r="J730" s="1006" t="s">
        <v>1895</v>
      </c>
      <c r="K730" s="1007"/>
      <c r="L730" s="1007"/>
      <c r="M730" s="1007"/>
      <c r="N730" s="1007"/>
      <c r="O730" s="1008"/>
      <c r="P730" s="273"/>
      <c r="Q730" s="449"/>
      <c r="R730" s="449"/>
      <c r="S730" s="449"/>
      <c r="T730" s="449"/>
      <c r="U730" s="449"/>
      <c r="V730" s="1009"/>
      <c r="W730" s="1010"/>
      <c r="X730" s="1011"/>
      <c r="Y730" s="449"/>
    </row>
    <row r="731" spans="4:25" ht="30" customHeight="1">
      <c r="D731" s="1003"/>
      <c r="E731" s="1004"/>
      <c r="F731" s="1005"/>
      <c r="G731" s="449"/>
      <c r="H731" s="449"/>
      <c r="I731" s="449"/>
      <c r="J731" s="1009"/>
      <c r="K731" s="1010"/>
      <c r="L731" s="1010"/>
      <c r="M731" s="1010"/>
      <c r="N731" s="1010"/>
      <c r="O731" s="1011"/>
      <c r="P731" s="273"/>
      <c r="Q731" s="449"/>
      <c r="R731" s="449"/>
      <c r="S731" s="449"/>
      <c r="T731" s="449"/>
      <c r="U731" s="449"/>
      <c r="V731" s="449"/>
      <c r="W731" s="449"/>
      <c r="X731" s="449"/>
      <c r="Y731" s="449"/>
    </row>
    <row r="732" spans="4:25" ht="30" customHeight="1">
      <c r="D732" s="449"/>
      <c r="E732" s="449"/>
      <c r="F732" s="449"/>
      <c r="G732" s="449"/>
      <c r="H732" s="449"/>
      <c r="I732" s="449"/>
      <c r="J732" s="449"/>
      <c r="K732" s="449"/>
      <c r="L732" s="449"/>
      <c r="M732" s="449"/>
      <c r="N732" s="449"/>
      <c r="O732" s="449"/>
      <c r="P732" s="449"/>
      <c r="Q732" s="449"/>
      <c r="R732" s="449"/>
      <c r="S732" s="449"/>
      <c r="T732" s="449"/>
      <c r="U732" s="449"/>
      <c r="V732" s="449"/>
      <c r="W732" s="449"/>
      <c r="X732" s="449"/>
      <c r="Y732" s="449"/>
    </row>
    <row r="733" spans="4:25" ht="30" customHeight="1">
      <c r="D733" s="449"/>
      <c r="E733" s="449"/>
      <c r="F733" s="449"/>
      <c r="G733" s="449"/>
      <c r="H733" s="449"/>
      <c r="I733" s="449"/>
      <c r="J733" s="449"/>
      <c r="K733" s="449"/>
      <c r="L733" s="449"/>
      <c r="M733" s="449"/>
      <c r="N733" s="449"/>
      <c r="O733" s="449"/>
      <c r="P733" s="449"/>
      <c r="Q733" s="449"/>
      <c r="R733" s="449"/>
      <c r="S733" s="449"/>
      <c r="T733" s="449"/>
      <c r="U733" s="449"/>
      <c r="V733" s="449"/>
      <c r="W733" s="449"/>
      <c r="X733" s="449"/>
      <c r="Y733" s="449"/>
    </row>
    <row r="734" spans="4:25" ht="30" customHeight="1">
      <c r="D734" s="449"/>
      <c r="E734" s="449"/>
      <c r="F734" s="449"/>
      <c r="G734" s="449"/>
      <c r="H734" s="449"/>
      <c r="I734" s="449"/>
      <c r="J734" s="449"/>
      <c r="K734" s="449"/>
      <c r="L734" s="449"/>
      <c r="M734" s="449"/>
      <c r="N734" s="449"/>
      <c r="O734" s="449"/>
      <c r="P734" s="449"/>
      <c r="Q734" s="449"/>
      <c r="R734" s="449"/>
      <c r="S734" s="449"/>
      <c r="T734" s="449"/>
      <c r="U734" s="449"/>
      <c r="V734" s="449"/>
      <c r="W734" s="449"/>
      <c r="X734" s="449"/>
      <c r="Y734" s="449"/>
    </row>
    <row r="735" spans="4:25" ht="30" customHeight="1">
      <c r="D735" s="1038" t="s">
        <v>1903</v>
      </c>
      <c r="E735" s="1038"/>
      <c r="F735" s="1038"/>
      <c r="G735" s="1038"/>
      <c r="H735" s="1038"/>
      <c r="I735" s="1038"/>
      <c r="J735" s="1038"/>
      <c r="K735" s="1038"/>
      <c r="L735" s="1038"/>
      <c r="M735" s="1038"/>
      <c r="N735" s="1038"/>
      <c r="O735" s="1038"/>
      <c r="P735" s="1038"/>
      <c r="Q735" s="1038"/>
      <c r="R735" s="1038"/>
      <c r="S735" s="1038"/>
      <c r="T735" s="1038"/>
      <c r="U735" s="1038"/>
      <c r="V735" s="1038"/>
      <c r="W735" s="1038"/>
      <c r="X735" s="1038"/>
      <c r="Y735" s="449"/>
    </row>
    <row r="736" spans="4:25" ht="30" customHeight="1">
      <c r="Y736" s="449"/>
    </row>
    <row r="737" spans="4:25" ht="30" customHeight="1">
      <c r="D737" s="1013" t="s">
        <v>1860</v>
      </c>
      <c r="E737" s="1013"/>
      <c r="F737" s="1013"/>
      <c r="G737" s="304"/>
      <c r="H737" s="304"/>
      <c r="I737" s="304"/>
      <c r="J737" s="1013" t="s">
        <v>1861</v>
      </c>
      <c r="K737" s="1013"/>
      <c r="L737" s="1013"/>
      <c r="M737" s="1013"/>
      <c r="N737" s="1013"/>
      <c r="O737" s="1013"/>
      <c r="P737" s="1013"/>
      <c r="S737" s="304"/>
      <c r="T737" s="304"/>
      <c r="U737" s="304"/>
      <c r="V737" s="1013" t="s">
        <v>1862</v>
      </c>
      <c r="W737" s="1013"/>
      <c r="X737" s="1013"/>
      <c r="Y737" s="449"/>
    </row>
    <row r="738" spans="4:25" ht="30" customHeight="1">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449"/>
    </row>
    <row r="739" spans="4:25" ht="30" customHeight="1">
      <c r="D739" s="902" t="s">
        <v>1863</v>
      </c>
      <c r="E739" s="900"/>
      <c r="F739" s="901"/>
      <c r="G739" s="304"/>
      <c r="H739" s="304"/>
      <c r="I739" s="304"/>
      <c r="J739" s="304"/>
      <c r="K739" s="304"/>
      <c r="L739" s="902" t="s">
        <v>1864</v>
      </c>
      <c r="M739" s="900"/>
      <c r="N739" s="901"/>
      <c r="O739" s="304"/>
      <c r="P739" s="304"/>
      <c r="Q739" s="899" t="s">
        <v>1865</v>
      </c>
      <c r="R739" s="998"/>
      <c r="S739" s="999"/>
      <c r="T739" s="304"/>
      <c r="U739" s="304"/>
      <c r="V739" s="1006" t="s">
        <v>1894</v>
      </c>
      <c r="W739" s="1007"/>
      <c r="X739" s="1008"/>
      <c r="Y739" s="449"/>
    </row>
    <row r="740" spans="4:25" ht="30" customHeight="1">
      <c r="D740" s="304"/>
      <c r="E740" s="304"/>
      <c r="F740" s="304"/>
      <c r="G740" s="304"/>
      <c r="H740" s="304"/>
      <c r="I740" s="304"/>
      <c r="J740" s="304"/>
      <c r="K740" s="304"/>
      <c r="L740" s="304"/>
      <c r="M740" s="304"/>
      <c r="N740" s="304"/>
      <c r="O740" s="304"/>
      <c r="P740" s="304"/>
      <c r="Q740" s="304"/>
      <c r="R740" s="304"/>
      <c r="S740" s="304"/>
      <c r="T740" s="304"/>
      <c r="U740" s="304"/>
      <c r="V740" s="1040"/>
      <c r="W740" s="1014"/>
      <c r="X740" s="1041"/>
      <c r="Y740" s="449"/>
    </row>
    <row r="741" spans="4:25" ht="30" customHeight="1">
      <c r="D741" s="899" t="s">
        <v>1867</v>
      </c>
      <c r="E741" s="998"/>
      <c r="F741" s="999"/>
      <c r="G741" s="304"/>
      <c r="H741" s="304"/>
      <c r="I741" s="304"/>
      <c r="J741" s="304"/>
      <c r="K741" s="304"/>
      <c r="L741" s="899" t="s">
        <v>1868</v>
      </c>
      <c r="M741" s="998"/>
      <c r="N741" s="999"/>
      <c r="O741" s="304"/>
      <c r="P741" s="304"/>
      <c r="Q741" s="899" t="s">
        <v>1869</v>
      </c>
      <c r="R741" s="998"/>
      <c r="S741" s="999"/>
      <c r="T741" s="304"/>
      <c r="U741" s="304"/>
      <c r="V741" s="1040"/>
      <c r="W741" s="1014"/>
      <c r="X741" s="1041"/>
      <c r="Y741" s="449"/>
    </row>
    <row r="742" spans="4:25" ht="30" customHeight="1">
      <c r="D742" s="304"/>
      <c r="E742" s="304"/>
      <c r="F742" s="304"/>
      <c r="G742" s="304"/>
      <c r="H742" s="304"/>
      <c r="I742" s="304"/>
      <c r="J742" s="304"/>
      <c r="K742" s="304"/>
      <c r="L742" s="304"/>
      <c r="M742" s="304"/>
      <c r="N742" s="304"/>
      <c r="O742" s="304"/>
      <c r="P742" s="304"/>
      <c r="Q742" s="304"/>
      <c r="R742" s="304"/>
      <c r="S742" s="304"/>
      <c r="T742" s="304"/>
      <c r="U742" s="304"/>
      <c r="V742" s="1040"/>
      <c r="W742" s="1014"/>
      <c r="X742" s="1041"/>
      <c r="Y742" s="449"/>
    </row>
    <row r="743" spans="4:25" ht="30" customHeight="1">
      <c r="D743" s="902" t="s">
        <v>1870</v>
      </c>
      <c r="E743" s="900"/>
      <c r="F743" s="901"/>
      <c r="G743" s="304"/>
      <c r="H743" s="304"/>
      <c r="I743" s="304"/>
      <c r="J743" s="304"/>
      <c r="K743" s="304"/>
      <c r="L743" s="899" t="s">
        <v>1871</v>
      </c>
      <c r="M743" s="998"/>
      <c r="N743" s="999"/>
      <c r="O743" s="304"/>
      <c r="P743" s="304"/>
      <c r="Q743" s="304"/>
      <c r="R743" s="304"/>
      <c r="S743" s="304"/>
      <c r="T743" s="304"/>
      <c r="U743" s="304"/>
      <c r="V743" s="1040"/>
      <c r="W743" s="1014"/>
      <c r="X743" s="1041"/>
      <c r="Y743" s="449"/>
    </row>
    <row r="744" spans="4:25" ht="30" customHeight="1">
      <c r="D744" s="290"/>
      <c r="E744" s="290"/>
      <c r="F744" s="290"/>
      <c r="G744" s="304"/>
      <c r="H744" s="304"/>
      <c r="I744" s="304"/>
      <c r="J744" s="304"/>
      <c r="K744" s="304"/>
      <c r="L744" s="289"/>
      <c r="M744" s="289"/>
      <c r="N744" s="289"/>
      <c r="O744" s="304"/>
      <c r="P744" s="304"/>
      <c r="Q744" s="304"/>
      <c r="R744" s="304"/>
      <c r="S744" s="304"/>
      <c r="T744" s="304"/>
      <c r="U744" s="304"/>
      <c r="V744" s="1040"/>
      <c r="W744" s="1014"/>
      <c r="X744" s="1041"/>
      <c r="Y744" s="449"/>
    </row>
    <row r="745" spans="4:25" ht="30" customHeight="1">
      <c r="D745" s="902" t="s">
        <v>1904</v>
      </c>
      <c r="E745" s="900"/>
      <c r="F745" s="901"/>
      <c r="G745" s="304"/>
      <c r="H745" s="304"/>
      <c r="I745" s="304"/>
      <c r="J745" s="304"/>
      <c r="K745" s="304"/>
      <c r="L745" s="899" t="s">
        <v>1905</v>
      </c>
      <c r="M745" s="998"/>
      <c r="N745" s="999"/>
      <c r="O745" s="304"/>
      <c r="P745" s="304"/>
      <c r="Q745" s="304"/>
      <c r="R745" s="304"/>
      <c r="S745" s="304"/>
      <c r="T745" s="304"/>
      <c r="U745" s="304"/>
      <c r="V745" s="1040"/>
      <c r="W745" s="1014"/>
      <c r="X745" s="1041"/>
      <c r="Y745" s="449"/>
    </row>
    <row r="746" spans="4:25" ht="30" customHeight="1">
      <c r="D746" s="304"/>
      <c r="E746" s="304"/>
      <c r="F746" s="304"/>
      <c r="G746" s="304"/>
      <c r="H746" s="304"/>
      <c r="I746" s="304"/>
      <c r="J746" s="304"/>
      <c r="K746" s="304"/>
      <c r="L746" s="304"/>
      <c r="M746" s="304"/>
      <c r="N746" s="304"/>
      <c r="O746" s="304"/>
      <c r="P746" s="304"/>
      <c r="Q746" s="1014"/>
      <c r="R746" s="1014"/>
      <c r="S746" s="1014"/>
      <c r="T746" s="304"/>
      <c r="U746" s="304"/>
      <c r="V746" s="1040"/>
      <c r="W746" s="1014"/>
      <c r="X746" s="1041"/>
      <c r="Y746" s="449"/>
    </row>
    <row r="747" spans="4:25" ht="30" customHeight="1">
      <c r="D747" s="1006" t="s">
        <v>1735</v>
      </c>
      <c r="E747" s="1007"/>
      <c r="F747" s="1008"/>
      <c r="G747" s="304"/>
      <c r="H747" s="304"/>
      <c r="I747" s="304"/>
      <c r="J747" s="304"/>
      <c r="K747" s="304"/>
      <c r="L747" s="1006" t="s">
        <v>1898</v>
      </c>
      <c r="M747" s="1007"/>
      <c r="N747" s="1008"/>
      <c r="O747" s="304"/>
      <c r="P747" s="304"/>
      <c r="Q747" s="1014"/>
      <c r="R747" s="1014"/>
      <c r="S747" s="1014"/>
      <c r="T747" s="304"/>
      <c r="U747" s="304"/>
      <c r="V747" s="1040"/>
      <c r="W747" s="1014"/>
      <c r="X747" s="1041"/>
      <c r="Y747" s="449"/>
    </row>
    <row r="748" spans="4:25" ht="30" customHeight="1">
      <c r="D748" s="1009"/>
      <c r="E748" s="1010"/>
      <c r="F748" s="1011"/>
      <c r="G748" s="304"/>
      <c r="H748" s="304"/>
      <c r="I748" s="304"/>
      <c r="J748" s="304"/>
      <c r="K748" s="304"/>
      <c r="L748" s="1009"/>
      <c r="M748" s="1010"/>
      <c r="N748" s="1011"/>
      <c r="O748" s="304"/>
      <c r="P748" s="304"/>
      <c r="Q748" s="1014"/>
      <c r="R748" s="1014"/>
      <c r="S748" s="1014"/>
      <c r="T748" s="304"/>
      <c r="U748" s="304"/>
      <c r="V748" s="1040"/>
      <c r="W748" s="1014"/>
      <c r="X748" s="1041"/>
      <c r="Y748" s="449"/>
    </row>
    <row r="749" spans="4:25" ht="30" customHeight="1">
      <c r="D749" s="304"/>
      <c r="E749" s="304"/>
      <c r="F749" s="304"/>
      <c r="G749" s="304"/>
      <c r="H749" s="304"/>
      <c r="I749" s="304"/>
      <c r="J749" s="304"/>
      <c r="K749" s="304"/>
      <c r="L749" s="304"/>
      <c r="M749" s="304"/>
      <c r="N749" s="304"/>
      <c r="O749" s="304"/>
      <c r="P749" s="304"/>
      <c r="Q749" s="304"/>
      <c r="R749" s="304"/>
      <c r="S749" s="304"/>
      <c r="T749" s="304"/>
      <c r="U749" s="304"/>
      <c r="V749" s="1040"/>
      <c r="W749" s="1014"/>
      <c r="X749" s="1041"/>
      <c r="Y749" s="449"/>
    </row>
    <row r="750" spans="4:25" ht="30" customHeight="1">
      <c r="D750" s="899" t="s">
        <v>1899</v>
      </c>
      <c r="E750" s="998"/>
      <c r="F750" s="999"/>
      <c r="G750" s="304"/>
      <c r="H750" s="304"/>
      <c r="I750" s="304"/>
      <c r="J750" s="304"/>
      <c r="K750" s="304"/>
      <c r="L750" s="304"/>
      <c r="M750" s="304"/>
      <c r="N750" s="304"/>
      <c r="O750" s="304"/>
      <c r="P750" s="304"/>
      <c r="Q750" s="1066" t="s">
        <v>1900</v>
      </c>
      <c r="R750" s="1067"/>
      <c r="S750" s="1068"/>
      <c r="T750" s="304"/>
      <c r="U750" s="304"/>
      <c r="V750" s="1040"/>
      <c r="W750" s="1014"/>
      <c r="X750" s="1041"/>
      <c r="Y750" s="449"/>
    </row>
    <row r="751" spans="4:25" ht="30" customHeight="1">
      <c r="D751" s="304"/>
      <c r="E751" s="304"/>
      <c r="F751" s="304"/>
      <c r="G751" s="304"/>
      <c r="H751" s="304"/>
      <c r="I751" s="304"/>
      <c r="J751" s="304"/>
      <c r="K751" s="304"/>
      <c r="L751" s="304"/>
      <c r="M751" s="304"/>
      <c r="N751" s="304"/>
      <c r="O751" s="304"/>
      <c r="P751" s="304"/>
      <c r="Q751" s="304"/>
      <c r="R751" s="304"/>
      <c r="S751" s="304"/>
      <c r="T751" s="304"/>
      <c r="U751" s="304"/>
      <c r="V751" s="1040"/>
      <c r="W751" s="1014"/>
      <c r="X751" s="1041"/>
      <c r="Y751" s="449"/>
    </row>
    <row r="752" spans="4:25" ht="40.5" customHeight="1">
      <c r="D752" s="899" t="s">
        <v>1901</v>
      </c>
      <c r="E752" s="998"/>
      <c r="F752" s="999"/>
      <c r="G752" s="304"/>
      <c r="H752" s="304"/>
      <c r="I752" s="304"/>
      <c r="J752" s="304"/>
      <c r="K752" s="304"/>
      <c r="L752" s="1069" t="s">
        <v>1906</v>
      </c>
      <c r="M752" s="1070"/>
      <c r="N752" s="1071"/>
      <c r="O752" s="304"/>
      <c r="P752" s="304"/>
      <c r="Q752" s="304"/>
      <c r="R752" s="304"/>
      <c r="S752" s="304"/>
      <c r="T752" s="304"/>
      <c r="U752" s="304"/>
      <c r="V752" s="1040"/>
      <c r="W752" s="1014"/>
      <c r="X752" s="1041"/>
      <c r="Y752" s="449"/>
    </row>
    <row r="753" spans="4:25" ht="30" customHeight="1">
      <c r="D753" s="304"/>
      <c r="E753" s="304"/>
      <c r="F753" s="304"/>
      <c r="G753" s="304"/>
      <c r="H753" s="304"/>
      <c r="I753" s="304"/>
      <c r="J753" s="304"/>
      <c r="K753" s="304"/>
      <c r="L753" s="304"/>
      <c r="M753" s="304"/>
      <c r="N753" s="304"/>
      <c r="O753" s="304"/>
      <c r="P753" s="304"/>
      <c r="Q753" s="304"/>
      <c r="R753" s="304"/>
      <c r="S753" s="304"/>
      <c r="T753" s="304"/>
      <c r="U753" s="304"/>
      <c r="V753" s="1040"/>
      <c r="W753" s="1014"/>
      <c r="X753" s="1041"/>
      <c r="Y753" s="449"/>
    </row>
    <row r="754" spans="4:25" ht="30" customHeight="1">
      <c r="D754" s="902" t="s">
        <v>1879</v>
      </c>
      <c r="E754" s="900"/>
      <c r="F754" s="901"/>
      <c r="G754" s="304"/>
      <c r="H754" s="304"/>
      <c r="I754" s="304"/>
      <c r="J754" s="304"/>
      <c r="K754" s="304"/>
      <c r="L754" s="899" t="s">
        <v>1880</v>
      </c>
      <c r="M754" s="998"/>
      <c r="N754" s="999"/>
      <c r="O754" s="304"/>
      <c r="P754" s="304"/>
      <c r="Q754" s="304"/>
      <c r="R754" s="304"/>
      <c r="S754" s="304"/>
      <c r="T754" s="304"/>
      <c r="U754" s="304"/>
      <c r="V754" s="1040"/>
      <c r="W754" s="1014"/>
      <c r="X754" s="1041"/>
      <c r="Y754" s="449"/>
    </row>
    <row r="755" spans="4:25" ht="22.5" customHeight="1">
      <c r="D755" s="449"/>
      <c r="E755" s="449"/>
      <c r="F755" s="449"/>
      <c r="G755" s="449"/>
      <c r="H755" s="449"/>
      <c r="I755" s="449"/>
      <c r="J755" s="449"/>
      <c r="K755" s="449"/>
      <c r="L755" s="449"/>
      <c r="M755" s="449"/>
      <c r="N755" s="449"/>
      <c r="O755" s="449"/>
      <c r="P755" s="449"/>
      <c r="Q755" s="449"/>
      <c r="R755" s="449"/>
      <c r="S755" s="449"/>
      <c r="T755" s="449"/>
      <c r="U755" s="449"/>
      <c r="V755" s="1040"/>
      <c r="W755" s="1014"/>
      <c r="X755" s="1041"/>
      <c r="Y755" s="449"/>
    </row>
    <row r="756" spans="4:25" ht="27.75" customHeight="1">
      <c r="D756" s="1000" t="s">
        <v>1902</v>
      </c>
      <c r="E756" s="1001"/>
      <c r="F756" s="1002"/>
      <c r="G756" s="449"/>
      <c r="H756" s="449"/>
      <c r="I756" s="449"/>
      <c r="J756" s="1006" t="s">
        <v>1906</v>
      </c>
      <c r="K756" s="1007"/>
      <c r="L756" s="1007"/>
      <c r="M756" s="1007"/>
      <c r="N756" s="1007"/>
      <c r="O756" s="1008"/>
      <c r="P756" s="273"/>
      <c r="Q756" s="449"/>
      <c r="R756" s="449"/>
      <c r="S756" s="449"/>
      <c r="T756" s="449"/>
      <c r="U756" s="449"/>
      <c r="V756" s="1009"/>
      <c r="W756" s="1010"/>
      <c r="X756" s="1011"/>
      <c r="Y756" s="449"/>
    </row>
    <row r="757" spans="4:25" ht="16.5" customHeight="1">
      <c r="D757" s="1003"/>
      <c r="E757" s="1004"/>
      <c r="F757" s="1005"/>
      <c r="G757" s="449"/>
      <c r="H757" s="449"/>
      <c r="I757" s="449"/>
      <c r="J757" s="1009"/>
      <c r="K757" s="1010"/>
      <c r="L757" s="1010"/>
      <c r="M757" s="1010"/>
      <c r="N757" s="1010"/>
      <c r="O757" s="1011"/>
      <c r="P757" s="273"/>
      <c r="Q757" s="449"/>
      <c r="R757" s="449"/>
      <c r="S757" s="449"/>
      <c r="T757" s="449"/>
      <c r="U757" s="449"/>
      <c r="V757" s="449"/>
      <c r="W757" s="449"/>
      <c r="X757" s="449"/>
      <c r="Y757" s="449"/>
    </row>
    <row r="758" spans="4:25" ht="30" customHeight="1">
      <c r="D758" s="449"/>
      <c r="E758" s="449"/>
      <c r="F758" s="449"/>
      <c r="G758" s="449"/>
      <c r="H758" s="449"/>
      <c r="I758" s="449"/>
      <c r="J758" s="449"/>
      <c r="K758" s="449"/>
      <c r="L758" s="449"/>
      <c r="M758" s="449"/>
      <c r="N758" s="449"/>
      <c r="O758" s="449"/>
      <c r="P758" s="449"/>
      <c r="Q758" s="449"/>
      <c r="R758" s="449"/>
      <c r="S758" s="449"/>
      <c r="T758" s="449"/>
      <c r="U758" s="449"/>
      <c r="V758" s="449"/>
      <c r="W758" s="449"/>
      <c r="X758" s="449"/>
      <c r="Y758" s="449"/>
    </row>
    <row r="761" spans="4:25" ht="30" customHeight="1">
      <c r="D761" s="1038" t="s">
        <v>1907</v>
      </c>
      <c r="E761" s="1038"/>
      <c r="F761" s="1038"/>
      <c r="G761" s="1038"/>
      <c r="H761" s="1038"/>
      <c r="I761" s="1038"/>
      <c r="J761" s="1038"/>
      <c r="K761" s="1038"/>
      <c r="L761" s="1038"/>
      <c r="M761" s="1038"/>
      <c r="N761" s="1038"/>
      <c r="O761" s="1038"/>
      <c r="P761" s="1038"/>
      <c r="Q761" s="1038"/>
      <c r="R761" s="1038"/>
      <c r="S761" s="1038"/>
      <c r="T761" s="1038"/>
      <c r="U761" s="1038"/>
      <c r="V761" s="1038"/>
      <c r="W761" s="1038"/>
      <c r="X761" s="1038"/>
      <c r="Y761" s="449"/>
    </row>
    <row r="762" spans="4:25" ht="30" customHeight="1">
      <c r="Y762" s="449"/>
    </row>
    <row r="763" spans="4:25" ht="30" customHeight="1">
      <c r="D763" s="1013" t="s">
        <v>1860</v>
      </c>
      <c r="E763" s="1013"/>
      <c r="F763" s="1013"/>
      <c r="G763" s="304"/>
      <c r="H763" s="304"/>
      <c r="I763" s="304"/>
      <c r="J763" s="1013" t="s">
        <v>1861</v>
      </c>
      <c r="K763" s="1013"/>
      <c r="L763" s="1013"/>
      <c r="M763" s="1013"/>
      <c r="N763" s="1013"/>
      <c r="O763" s="1013"/>
      <c r="P763" s="1013"/>
      <c r="S763" s="304"/>
      <c r="T763" s="304"/>
      <c r="U763" s="304"/>
      <c r="V763" s="1013" t="s">
        <v>1862</v>
      </c>
      <c r="W763" s="1013"/>
      <c r="X763" s="1013"/>
      <c r="Y763" s="449"/>
    </row>
    <row r="764" spans="4:25" ht="30" customHeight="1">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449"/>
    </row>
    <row r="765" spans="4:25" ht="30" customHeight="1">
      <c r="D765" s="902" t="s">
        <v>1863</v>
      </c>
      <c r="E765" s="900"/>
      <c r="F765" s="901"/>
      <c r="G765" s="304"/>
      <c r="H765" s="304"/>
      <c r="I765" s="304"/>
      <c r="J765" s="304"/>
      <c r="K765" s="304"/>
      <c r="L765" s="902" t="s">
        <v>1864</v>
      </c>
      <c r="M765" s="900"/>
      <c r="N765" s="901"/>
      <c r="O765" s="304"/>
      <c r="P765" s="304"/>
      <c r="Q765" s="899" t="s">
        <v>1865</v>
      </c>
      <c r="R765" s="998"/>
      <c r="S765" s="999"/>
      <c r="T765" s="304"/>
      <c r="U765" s="304"/>
      <c r="V765" s="1006" t="s">
        <v>1894</v>
      </c>
      <c r="W765" s="1007"/>
      <c r="X765" s="1008"/>
      <c r="Y765" s="449"/>
    </row>
    <row r="766" spans="4:25" ht="25.5" customHeight="1">
      <c r="D766" s="304"/>
      <c r="E766" s="304"/>
      <c r="F766" s="304"/>
      <c r="G766" s="304"/>
      <c r="H766" s="304"/>
      <c r="I766" s="304"/>
      <c r="J766" s="304"/>
      <c r="K766" s="304"/>
      <c r="L766" s="304"/>
      <c r="M766" s="304"/>
      <c r="N766" s="304"/>
      <c r="O766" s="304"/>
      <c r="P766" s="304"/>
      <c r="Q766" s="304"/>
      <c r="R766" s="304"/>
      <c r="S766" s="304"/>
      <c r="T766" s="304"/>
      <c r="U766" s="304"/>
      <c r="V766" s="1040"/>
      <c r="W766" s="1014"/>
      <c r="X766" s="1041"/>
      <c r="Y766" s="449"/>
    </row>
    <row r="767" spans="4:25" ht="30" customHeight="1">
      <c r="D767" s="899" t="s">
        <v>1867</v>
      </c>
      <c r="E767" s="998"/>
      <c r="F767" s="999"/>
      <c r="G767" s="304"/>
      <c r="H767" s="304"/>
      <c r="I767" s="304"/>
      <c r="J767" s="304"/>
      <c r="K767" s="304"/>
      <c r="L767" s="899" t="s">
        <v>1868</v>
      </c>
      <c r="M767" s="998"/>
      <c r="N767" s="999"/>
      <c r="O767" s="304"/>
      <c r="P767" s="304"/>
      <c r="Q767" s="899" t="s">
        <v>1323</v>
      </c>
      <c r="R767" s="998"/>
      <c r="S767" s="999"/>
      <c r="T767" s="304"/>
      <c r="U767" s="304"/>
      <c r="V767" s="1040"/>
      <c r="W767" s="1014"/>
      <c r="X767" s="1041"/>
      <c r="Y767" s="449"/>
    </row>
    <row r="768" spans="4:25" ht="24" customHeight="1">
      <c r="D768" s="304"/>
      <c r="E768" s="304"/>
      <c r="F768" s="304"/>
      <c r="G768" s="304"/>
      <c r="H768" s="304"/>
      <c r="I768" s="304"/>
      <c r="J768" s="304"/>
      <c r="K768" s="304"/>
      <c r="L768" s="304"/>
      <c r="M768" s="304"/>
      <c r="N768" s="304"/>
      <c r="O768" s="304"/>
      <c r="P768" s="304"/>
      <c r="Q768" s="304"/>
      <c r="R768" s="304"/>
      <c r="S768" s="304"/>
      <c r="T768" s="304"/>
      <c r="U768" s="304"/>
      <c r="V768" s="1040"/>
      <c r="W768" s="1014"/>
      <c r="X768" s="1041"/>
      <c r="Y768" s="449"/>
    </row>
    <row r="769" spans="4:25" ht="42" customHeight="1">
      <c r="D769" s="902" t="s">
        <v>1870</v>
      </c>
      <c r="E769" s="900"/>
      <c r="F769" s="901"/>
      <c r="G769" s="304"/>
      <c r="H769" s="304"/>
      <c r="I769" s="1042" t="s">
        <v>1323</v>
      </c>
      <c r="J769" s="1043"/>
      <c r="K769" s="1043"/>
      <c r="L769" s="1044"/>
      <c r="M769" s="273"/>
      <c r="N769" s="899" t="s">
        <v>1871</v>
      </c>
      <c r="O769" s="998"/>
      <c r="P769" s="999"/>
      <c r="Q769" s="304"/>
      <c r="R769" s="304"/>
      <c r="S769" s="304"/>
      <c r="T769" s="304"/>
      <c r="U769" s="304"/>
      <c r="V769" s="1040"/>
      <c r="W769" s="1014"/>
      <c r="X769" s="1041"/>
      <c r="Y769" s="449"/>
    </row>
    <row r="770" spans="4:25" ht="24.75" customHeight="1">
      <c r="D770" s="304"/>
      <c r="E770" s="304"/>
      <c r="F770" s="304"/>
      <c r="G770" s="304"/>
      <c r="H770" s="304"/>
      <c r="I770" s="304"/>
      <c r="J770" s="304"/>
      <c r="K770" s="304"/>
      <c r="L770" s="304"/>
      <c r="M770" s="304"/>
      <c r="N770" s="304"/>
      <c r="O770" s="304"/>
      <c r="P770" s="304"/>
      <c r="Q770" s="1014"/>
      <c r="R770" s="1014"/>
      <c r="S770" s="1014"/>
      <c r="T770" s="304"/>
      <c r="U770" s="304"/>
      <c r="V770" s="1040"/>
      <c r="W770" s="1014"/>
      <c r="X770" s="1041"/>
      <c r="Y770" s="449"/>
    </row>
    <row r="771" spans="4:25" ht="30" customHeight="1">
      <c r="D771" s="1006" t="s">
        <v>1735</v>
      </c>
      <c r="E771" s="1007"/>
      <c r="F771" s="1008"/>
      <c r="G771" s="304"/>
      <c r="H771" s="304"/>
      <c r="I771" s="304"/>
      <c r="J771" s="304"/>
      <c r="K771" s="304"/>
      <c r="L771" s="1000" t="s">
        <v>1908</v>
      </c>
      <c r="M771" s="1001"/>
      <c r="N771" s="1002"/>
      <c r="O771" s="304"/>
      <c r="P771" s="304"/>
      <c r="Q771" s="1014"/>
      <c r="R771" s="1014"/>
      <c r="S771" s="1014"/>
      <c r="T771" s="304"/>
      <c r="U771" s="304"/>
      <c r="V771" s="1040"/>
      <c r="W771" s="1014"/>
      <c r="X771" s="1041"/>
      <c r="Y771" s="449"/>
    </row>
    <row r="772" spans="4:25" ht="30" customHeight="1">
      <c r="D772" s="1009"/>
      <c r="E772" s="1010"/>
      <c r="F772" s="1011"/>
      <c r="G772" s="304"/>
      <c r="H772" s="304"/>
      <c r="I772" s="304"/>
      <c r="J772" s="304"/>
      <c r="K772" s="304"/>
      <c r="L772" s="1003"/>
      <c r="M772" s="1004"/>
      <c r="N772" s="1005"/>
      <c r="O772" s="304"/>
      <c r="P772" s="304"/>
      <c r="Q772" s="1014"/>
      <c r="R772" s="1014"/>
      <c r="S772" s="1014"/>
      <c r="T772" s="304"/>
      <c r="U772" s="304"/>
      <c r="V772" s="1040"/>
      <c r="W772" s="1014"/>
      <c r="X772" s="1041"/>
      <c r="Y772" s="449"/>
    </row>
    <row r="773" spans="4:25" ht="24.75" customHeight="1">
      <c r="D773" s="304"/>
      <c r="E773" s="304"/>
      <c r="F773" s="304"/>
      <c r="G773" s="304"/>
      <c r="H773" s="304"/>
      <c r="I773" s="304"/>
      <c r="J773" s="304"/>
      <c r="K773" s="304"/>
      <c r="L773" s="304"/>
      <c r="M773" s="304"/>
      <c r="N773" s="304"/>
      <c r="O773" s="304"/>
      <c r="P773" s="304"/>
      <c r="Q773" s="304"/>
      <c r="R773" s="304"/>
      <c r="S773" s="304"/>
      <c r="T773" s="304"/>
      <c r="U773" s="304"/>
      <c r="V773" s="1040"/>
      <c r="W773" s="1014"/>
      <c r="X773" s="1041"/>
      <c r="Y773" s="449"/>
    </row>
    <row r="774" spans="4:25" ht="36.75" customHeight="1">
      <c r="D774" s="1042" t="s">
        <v>1899</v>
      </c>
      <c r="E774" s="1043"/>
      <c r="F774" s="1044"/>
      <c r="G774" s="304"/>
      <c r="H774" s="304"/>
      <c r="I774" s="304"/>
      <c r="J774" s="304"/>
      <c r="K774" s="304"/>
      <c r="L774" s="304"/>
      <c r="M774" s="304"/>
      <c r="N774" s="304"/>
      <c r="O774" s="304"/>
      <c r="P774" s="304"/>
      <c r="Q774" s="1066" t="s">
        <v>1909</v>
      </c>
      <c r="R774" s="1067"/>
      <c r="S774" s="1068"/>
      <c r="T774" s="304"/>
      <c r="U774" s="304"/>
      <c r="V774" s="1040"/>
      <c r="W774" s="1014"/>
      <c r="X774" s="1041"/>
      <c r="Y774" s="449"/>
    </row>
    <row r="775" spans="4:25" ht="30" customHeight="1">
      <c r="D775" s="304"/>
      <c r="E775" s="304"/>
      <c r="F775" s="304"/>
      <c r="G775" s="304"/>
      <c r="H775" s="304"/>
      <c r="I775" s="304"/>
      <c r="J775" s="304"/>
      <c r="K775" s="304"/>
      <c r="L775" s="304"/>
      <c r="M775" s="304"/>
      <c r="N775" s="304"/>
      <c r="O775" s="304"/>
      <c r="P775" s="304"/>
      <c r="Q775" s="304"/>
      <c r="R775" s="304"/>
      <c r="S775" s="304"/>
      <c r="T775" s="304"/>
      <c r="U775" s="304"/>
      <c r="V775" s="1040"/>
      <c r="W775" s="1014"/>
      <c r="X775" s="1041"/>
      <c r="Y775" s="449"/>
    </row>
    <row r="776" spans="4:25" ht="40.5" customHeight="1">
      <c r="D776" s="899" t="s">
        <v>1901</v>
      </c>
      <c r="E776" s="998"/>
      <c r="F776" s="999"/>
      <c r="G776" s="304"/>
      <c r="H776" s="304"/>
      <c r="I776" s="304"/>
      <c r="J776" s="304"/>
      <c r="K776" s="304"/>
      <c r="L776" s="1069" t="s">
        <v>1323</v>
      </c>
      <c r="M776" s="1070"/>
      <c r="N776" s="1071"/>
      <c r="O776" s="304"/>
      <c r="P776" s="304"/>
      <c r="Q776" s="304"/>
      <c r="R776" s="304"/>
      <c r="S776" s="304"/>
      <c r="T776" s="304"/>
      <c r="U776" s="304"/>
      <c r="V776" s="1040"/>
      <c r="W776" s="1014"/>
      <c r="X776" s="1041"/>
      <c r="Y776" s="449"/>
    </row>
    <row r="777" spans="4:25" ht="30" customHeight="1">
      <c r="D777" s="304"/>
      <c r="E777" s="304"/>
      <c r="F777" s="304"/>
      <c r="G777" s="304"/>
      <c r="H777" s="304"/>
      <c r="I777" s="304"/>
      <c r="J777" s="304"/>
      <c r="K777" s="304"/>
      <c r="L777" s="304"/>
      <c r="M777" s="304"/>
      <c r="N777" s="304"/>
      <c r="O777" s="304"/>
      <c r="P777" s="304"/>
      <c r="Q777" s="304"/>
      <c r="R777" s="304"/>
      <c r="S777" s="304"/>
      <c r="T777" s="304"/>
      <c r="U777" s="304"/>
      <c r="V777" s="1040"/>
      <c r="W777" s="1014"/>
      <c r="X777" s="1041"/>
      <c r="Y777" s="449"/>
    </row>
    <row r="778" spans="4:25" ht="30" customHeight="1">
      <c r="D778" s="902" t="s">
        <v>1879</v>
      </c>
      <c r="E778" s="900"/>
      <c r="F778" s="901"/>
      <c r="G778" s="304"/>
      <c r="H778" s="304"/>
      <c r="I778" s="304"/>
      <c r="J778" s="304"/>
      <c r="K778" s="304"/>
      <c r="L778" s="899" t="s">
        <v>1880</v>
      </c>
      <c r="M778" s="998"/>
      <c r="N778" s="999"/>
      <c r="O778" s="304"/>
      <c r="P778" s="304"/>
      <c r="Q778" s="304"/>
      <c r="R778" s="304"/>
      <c r="S778" s="304"/>
      <c r="T778" s="304"/>
      <c r="U778" s="304"/>
      <c r="V778" s="1040"/>
      <c r="W778" s="1014"/>
      <c r="X778" s="1041"/>
      <c r="Y778" s="449"/>
    </row>
    <row r="779" spans="4:25" ht="30" customHeight="1">
      <c r="D779" s="449"/>
      <c r="E779" s="449"/>
      <c r="F779" s="449"/>
      <c r="G779" s="449"/>
      <c r="H779" s="449"/>
      <c r="I779" s="449"/>
      <c r="J779" s="449"/>
      <c r="K779" s="449"/>
      <c r="L779" s="449"/>
      <c r="M779" s="449"/>
      <c r="N779" s="449"/>
      <c r="O779" s="449"/>
      <c r="P779" s="449"/>
      <c r="Q779" s="449"/>
      <c r="R779" s="449"/>
      <c r="S779" s="449"/>
      <c r="T779" s="449"/>
      <c r="U779" s="449"/>
      <c r="V779" s="1040"/>
      <c r="W779" s="1014"/>
      <c r="X779" s="1041"/>
      <c r="Y779" s="449"/>
    </row>
    <row r="780" spans="4:25" ht="30" customHeight="1">
      <c r="D780" s="1000" t="s">
        <v>1902</v>
      </c>
      <c r="E780" s="1001"/>
      <c r="F780" s="1002"/>
      <c r="G780" s="449"/>
      <c r="H780" s="449"/>
      <c r="I780" s="449"/>
      <c r="J780" s="1006" t="s">
        <v>1883</v>
      </c>
      <c r="K780" s="1007"/>
      <c r="L780" s="1007"/>
      <c r="M780" s="1007"/>
      <c r="N780" s="1007"/>
      <c r="O780" s="1008"/>
      <c r="P780" s="273"/>
      <c r="Q780" s="449"/>
      <c r="R780" s="449"/>
      <c r="S780" s="449"/>
      <c r="T780" s="449"/>
      <c r="U780" s="449"/>
      <c r="V780" s="1009"/>
      <c r="W780" s="1010"/>
      <c r="X780" s="1011"/>
      <c r="Y780" s="449"/>
    </row>
    <row r="781" spans="4:25" ht="30" customHeight="1">
      <c r="D781" s="1003"/>
      <c r="E781" s="1004"/>
      <c r="F781" s="1005"/>
      <c r="G781" s="449"/>
      <c r="H781" s="449"/>
      <c r="I781" s="449"/>
      <c r="J781" s="1009"/>
      <c r="K781" s="1010"/>
      <c r="L781" s="1010"/>
      <c r="M781" s="1010"/>
      <c r="N781" s="1010"/>
      <c r="O781" s="1011"/>
      <c r="P781" s="273"/>
      <c r="Q781" s="449"/>
      <c r="R781" s="449"/>
      <c r="S781" s="449"/>
      <c r="T781" s="449"/>
      <c r="U781" s="449"/>
      <c r="V781" s="449"/>
      <c r="W781" s="449"/>
      <c r="X781" s="449"/>
      <c r="Y781" s="449"/>
    </row>
    <row r="782" spans="4:25" ht="30" customHeight="1">
      <c r="D782" s="449"/>
      <c r="E782" s="449"/>
      <c r="F782" s="449"/>
      <c r="G782" s="449"/>
      <c r="H782" s="449"/>
      <c r="I782" s="449"/>
      <c r="J782" s="449"/>
      <c r="K782" s="449"/>
      <c r="L782" s="449"/>
      <c r="M782" s="449"/>
      <c r="N782" s="449"/>
      <c r="O782" s="449"/>
      <c r="P782" s="449"/>
      <c r="Q782" s="449"/>
      <c r="R782" s="449"/>
      <c r="S782" s="449"/>
      <c r="T782" s="449"/>
      <c r="U782" s="449"/>
      <c r="V782" s="449"/>
      <c r="W782" s="449"/>
      <c r="X782" s="449"/>
      <c r="Y782" s="449"/>
    </row>
    <row r="785" spans="4:25" ht="30" customHeight="1">
      <c r="D785" s="1038" t="s">
        <v>1910</v>
      </c>
      <c r="E785" s="1038"/>
      <c r="F785" s="1038"/>
      <c r="G785" s="1038"/>
      <c r="H785" s="1038"/>
      <c r="I785" s="1038"/>
      <c r="J785" s="1038"/>
      <c r="K785" s="1038"/>
      <c r="L785" s="1038"/>
      <c r="M785" s="1038"/>
      <c r="N785" s="1038"/>
      <c r="O785" s="1038"/>
      <c r="P785" s="1038"/>
      <c r="Q785" s="1038"/>
      <c r="R785" s="1038"/>
      <c r="S785" s="1038"/>
      <c r="T785" s="1038"/>
      <c r="U785" s="1038"/>
      <c r="V785" s="1038"/>
      <c r="W785" s="1038"/>
      <c r="X785" s="1038"/>
      <c r="Y785" s="449"/>
    </row>
    <row r="786" spans="4:25" ht="30" customHeight="1">
      <c r="Y786" s="449"/>
    </row>
    <row r="787" spans="4:25" ht="30" customHeight="1">
      <c r="D787" s="1013" t="s">
        <v>1860</v>
      </c>
      <c r="E787" s="1013"/>
      <c r="F787" s="1013"/>
      <c r="G787" s="304"/>
      <c r="H787" s="304"/>
      <c r="I787" s="304"/>
      <c r="J787" s="1013" t="s">
        <v>1861</v>
      </c>
      <c r="K787" s="1013"/>
      <c r="L787" s="1013"/>
      <c r="M787" s="1013"/>
      <c r="N787" s="1013"/>
      <c r="O787" s="1013"/>
      <c r="P787" s="1013"/>
      <c r="S787" s="304"/>
      <c r="T787" s="304"/>
      <c r="U787" s="304"/>
      <c r="V787" s="1013" t="s">
        <v>1862</v>
      </c>
      <c r="W787" s="1013"/>
      <c r="X787" s="1013"/>
      <c r="Y787" s="449"/>
    </row>
    <row r="788" spans="4:25" ht="30" customHeight="1">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449"/>
    </row>
    <row r="789" spans="4:25" ht="30" customHeight="1">
      <c r="D789" s="902" t="s">
        <v>1863</v>
      </c>
      <c r="E789" s="900"/>
      <c r="F789" s="901"/>
      <c r="G789" s="304"/>
      <c r="H789" s="304"/>
      <c r="I789" s="304"/>
      <c r="J789" s="304"/>
      <c r="K789" s="304"/>
      <c r="L789" s="902" t="s">
        <v>1864</v>
      </c>
      <c r="M789" s="900"/>
      <c r="N789" s="901"/>
      <c r="O789" s="304"/>
      <c r="P789" s="304"/>
      <c r="Q789" s="899" t="s">
        <v>1865</v>
      </c>
      <c r="R789" s="998"/>
      <c r="S789" s="999"/>
      <c r="T789" s="304"/>
      <c r="U789" s="304"/>
      <c r="V789" s="1006" t="s">
        <v>1894</v>
      </c>
      <c r="W789" s="1007"/>
      <c r="X789" s="1008"/>
      <c r="Y789" s="449"/>
    </row>
    <row r="790" spans="4:25" ht="30" customHeight="1">
      <c r="D790" s="304"/>
      <c r="E790" s="304"/>
      <c r="F790" s="304"/>
      <c r="G790" s="304"/>
      <c r="H790" s="304"/>
      <c r="I790" s="304"/>
      <c r="J790" s="304"/>
      <c r="K790" s="304"/>
      <c r="L790" s="304"/>
      <c r="M790" s="304"/>
      <c r="N790" s="304"/>
      <c r="O790" s="304"/>
      <c r="P790" s="304"/>
      <c r="Q790" s="304"/>
      <c r="R790" s="304"/>
      <c r="S790" s="304"/>
      <c r="T790" s="304"/>
      <c r="U790" s="304"/>
      <c r="V790" s="1040"/>
      <c r="W790" s="1014"/>
      <c r="X790" s="1041"/>
      <c r="Y790" s="449"/>
    </row>
    <row r="791" spans="4:25" ht="30" customHeight="1">
      <c r="D791" s="899" t="s">
        <v>1867</v>
      </c>
      <c r="E791" s="998"/>
      <c r="F791" s="999"/>
      <c r="G791" s="304"/>
      <c r="H791" s="304"/>
      <c r="I791" s="304"/>
      <c r="J791" s="304"/>
      <c r="K791" s="304"/>
      <c r="L791" s="899" t="s">
        <v>1868</v>
      </c>
      <c r="M791" s="998"/>
      <c r="N791" s="999"/>
      <c r="O791" s="304"/>
      <c r="P791" s="304"/>
      <c r="Q791" s="1042" t="s">
        <v>1895</v>
      </c>
      <c r="R791" s="1043"/>
      <c r="S791" s="1044"/>
      <c r="T791" s="304"/>
      <c r="U791" s="304"/>
      <c r="V791" s="1040"/>
      <c r="W791" s="1014"/>
      <c r="X791" s="1041"/>
      <c r="Y791" s="449"/>
    </row>
    <row r="792" spans="4:25" ht="30" customHeight="1">
      <c r="D792" s="304"/>
      <c r="E792" s="304"/>
      <c r="F792" s="304"/>
      <c r="G792" s="304"/>
      <c r="H792" s="304"/>
      <c r="I792" s="304"/>
      <c r="J792" s="304"/>
      <c r="K792" s="304"/>
      <c r="L792" s="304"/>
      <c r="M792" s="304"/>
      <c r="N792" s="304"/>
      <c r="O792" s="304"/>
      <c r="P792" s="304"/>
      <c r="Q792" s="304"/>
      <c r="R792" s="304"/>
      <c r="S792" s="304"/>
      <c r="T792" s="304"/>
      <c r="U792" s="304"/>
      <c r="V792" s="1040"/>
      <c r="W792" s="1014"/>
      <c r="X792" s="1041"/>
      <c r="Y792" s="449"/>
    </row>
    <row r="793" spans="4:25" ht="30" customHeight="1">
      <c r="D793" s="902" t="s">
        <v>1870</v>
      </c>
      <c r="E793" s="900"/>
      <c r="F793" s="901"/>
      <c r="G793" s="304"/>
      <c r="H793" s="304"/>
      <c r="I793" s="1066" t="s">
        <v>1323</v>
      </c>
      <c r="J793" s="1067"/>
      <c r="K793" s="1067"/>
      <c r="L793" s="1068"/>
      <c r="M793" s="273"/>
      <c r="N793" s="273"/>
      <c r="O793" s="1066" t="s">
        <v>1871</v>
      </c>
      <c r="P793" s="1067"/>
      <c r="Q793" s="1068"/>
      <c r="R793" s="304"/>
      <c r="S793" s="304"/>
      <c r="T793" s="304"/>
      <c r="U793" s="304"/>
      <c r="V793" s="1040"/>
      <c r="W793" s="1014"/>
      <c r="X793" s="1041"/>
      <c r="Y793" s="449"/>
    </row>
    <row r="794" spans="4:25" ht="30" customHeight="1">
      <c r="D794" s="304"/>
      <c r="E794" s="304"/>
      <c r="F794" s="304"/>
      <c r="G794" s="304"/>
      <c r="H794" s="304"/>
      <c r="I794" s="304"/>
      <c r="J794" s="304"/>
      <c r="K794" s="304"/>
      <c r="L794" s="304"/>
      <c r="M794" s="304"/>
      <c r="N794" s="304"/>
      <c r="O794" s="304"/>
      <c r="P794" s="304"/>
      <c r="Q794" s="1014"/>
      <c r="R794" s="1014"/>
      <c r="S794" s="1014"/>
      <c r="T794" s="304"/>
      <c r="U794" s="304"/>
      <c r="V794" s="1040"/>
      <c r="W794" s="1014"/>
      <c r="X794" s="1041"/>
      <c r="Y794" s="449"/>
    </row>
    <row r="795" spans="4:25" ht="30" customHeight="1">
      <c r="D795" s="1006" t="s">
        <v>1911</v>
      </c>
      <c r="E795" s="1007"/>
      <c r="F795" s="1008"/>
      <c r="G795" s="304"/>
      <c r="H795" s="304"/>
      <c r="I795" s="304"/>
      <c r="J795" s="304"/>
      <c r="K795" s="304"/>
      <c r="L795" s="1006" t="s">
        <v>1912</v>
      </c>
      <c r="M795" s="1007"/>
      <c r="N795" s="1008"/>
      <c r="O795" s="304"/>
      <c r="P795" s="304"/>
      <c r="Q795" s="1014"/>
      <c r="R795" s="1014"/>
      <c r="S795" s="1014"/>
      <c r="T795" s="304"/>
      <c r="U795" s="304"/>
      <c r="V795" s="1040"/>
      <c r="W795" s="1014"/>
      <c r="X795" s="1041"/>
      <c r="Y795" s="449"/>
    </row>
    <row r="796" spans="4:25" ht="30" customHeight="1">
      <c r="D796" s="1009"/>
      <c r="E796" s="1010"/>
      <c r="F796" s="1011"/>
      <c r="G796" s="304"/>
      <c r="H796" s="304"/>
      <c r="I796" s="304"/>
      <c r="J796" s="304"/>
      <c r="K796" s="304"/>
      <c r="L796" s="1009"/>
      <c r="M796" s="1010"/>
      <c r="N796" s="1011"/>
      <c r="O796" s="304"/>
      <c r="P796" s="304"/>
      <c r="Q796" s="1014"/>
      <c r="R796" s="1014"/>
      <c r="S796" s="1014"/>
      <c r="T796" s="304"/>
      <c r="U796" s="304"/>
      <c r="V796" s="1040"/>
      <c r="W796" s="1014"/>
      <c r="X796" s="1041"/>
      <c r="Y796" s="449"/>
    </row>
    <row r="797" spans="4:25" ht="30" customHeight="1">
      <c r="D797" s="304"/>
      <c r="E797" s="304"/>
      <c r="F797" s="304"/>
      <c r="G797" s="304"/>
      <c r="H797" s="304"/>
      <c r="I797" s="304"/>
      <c r="J797" s="304"/>
      <c r="K797" s="304"/>
      <c r="L797" s="304"/>
      <c r="M797" s="304"/>
      <c r="N797" s="304"/>
      <c r="O797" s="304"/>
      <c r="P797" s="304"/>
      <c r="Q797" s="304"/>
      <c r="R797" s="304"/>
      <c r="S797" s="304"/>
      <c r="T797" s="304"/>
      <c r="U797" s="304"/>
      <c r="V797" s="1040"/>
      <c r="W797" s="1014"/>
      <c r="X797" s="1041"/>
      <c r="Y797" s="449"/>
    </row>
    <row r="798" spans="4:25" ht="30" customHeight="1">
      <c r="D798" s="899" t="s">
        <v>1899</v>
      </c>
      <c r="E798" s="998"/>
      <c r="F798" s="999"/>
      <c r="G798" s="304"/>
      <c r="H798" s="304"/>
      <c r="I798" s="304"/>
      <c r="J798" s="304"/>
      <c r="K798" s="304"/>
      <c r="L798" s="304"/>
      <c r="M798" s="304"/>
      <c r="N798" s="304"/>
      <c r="O798" s="304"/>
      <c r="P798" s="304"/>
      <c r="Q798" s="1066" t="s">
        <v>1909</v>
      </c>
      <c r="R798" s="1067"/>
      <c r="S798" s="1068"/>
      <c r="T798" s="304"/>
      <c r="U798" s="304"/>
      <c r="V798" s="1040"/>
      <c r="W798" s="1014"/>
      <c r="X798" s="1041"/>
      <c r="Y798" s="449"/>
    </row>
    <row r="799" spans="4:25" ht="30" customHeight="1">
      <c r="D799" s="304"/>
      <c r="E799" s="304"/>
      <c r="F799" s="304"/>
      <c r="G799" s="304"/>
      <c r="H799" s="304"/>
      <c r="I799" s="304"/>
      <c r="J799" s="304"/>
      <c r="K799" s="304"/>
      <c r="L799" s="304"/>
      <c r="M799" s="304"/>
      <c r="N799" s="304"/>
      <c r="O799" s="304"/>
      <c r="P799" s="304"/>
      <c r="Q799" s="304"/>
      <c r="R799" s="304"/>
      <c r="S799" s="304"/>
      <c r="T799" s="304"/>
      <c r="U799" s="304"/>
      <c r="V799" s="1040"/>
      <c r="W799" s="1014"/>
      <c r="X799" s="1041"/>
      <c r="Y799" s="449"/>
    </row>
    <row r="800" spans="4:25" ht="40.5" customHeight="1">
      <c r="D800" s="899" t="s">
        <v>1901</v>
      </c>
      <c r="E800" s="998"/>
      <c r="F800" s="999"/>
      <c r="G800" s="304"/>
      <c r="H800" s="304"/>
      <c r="I800" s="304"/>
      <c r="J800" s="304"/>
      <c r="K800" s="304"/>
      <c r="L800" s="1069" t="s">
        <v>1323</v>
      </c>
      <c r="M800" s="1070"/>
      <c r="N800" s="1071"/>
      <c r="O800" s="304"/>
      <c r="P800" s="304"/>
      <c r="Q800" s="304"/>
      <c r="R800" s="304"/>
      <c r="S800" s="304"/>
      <c r="T800" s="304"/>
      <c r="U800" s="304"/>
      <c r="V800" s="1040"/>
      <c r="W800" s="1014"/>
      <c r="X800" s="1041"/>
      <c r="Y800" s="449"/>
    </row>
    <row r="801" spans="4:25" ht="30" customHeight="1">
      <c r="D801" s="304"/>
      <c r="E801" s="304"/>
      <c r="F801" s="304"/>
      <c r="G801" s="304"/>
      <c r="H801" s="304"/>
      <c r="I801" s="304"/>
      <c r="J801" s="304"/>
      <c r="K801" s="304"/>
      <c r="L801" s="304"/>
      <c r="M801" s="304"/>
      <c r="N801" s="304"/>
      <c r="O801" s="304"/>
      <c r="P801" s="304"/>
      <c r="Q801" s="304"/>
      <c r="R801" s="304"/>
      <c r="S801" s="304"/>
      <c r="T801" s="304"/>
      <c r="U801" s="304"/>
      <c r="V801" s="1040"/>
      <c r="W801" s="1014"/>
      <c r="X801" s="1041"/>
      <c r="Y801" s="449"/>
    </row>
    <row r="802" spans="4:25" ht="30" customHeight="1">
      <c r="D802" s="902" t="s">
        <v>1879</v>
      </c>
      <c r="E802" s="900"/>
      <c r="F802" s="901"/>
      <c r="G802" s="304"/>
      <c r="H802" s="304"/>
      <c r="I802" s="304"/>
      <c r="J802" s="304"/>
      <c r="K802" s="304"/>
      <c r="L802" s="899" t="s">
        <v>1880</v>
      </c>
      <c r="M802" s="998"/>
      <c r="N802" s="999"/>
      <c r="O802" s="304"/>
      <c r="P802" s="304"/>
      <c r="Q802" s="304"/>
      <c r="R802" s="304"/>
      <c r="S802" s="304"/>
      <c r="T802" s="304"/>
      <c r="U802" s="304"/>
      <c r="V802" s="1040"/>
      <c r="W802" s="1014"/>
      <c r="X802" s="1041"/>
      <c r="Y802" s="449"/>
    </row>
    <row r="803" spans="4:25" ht="30" customHeight="1">
      <c r="D803" s="449"/>
      <c r="E803" s="449"/>
      <c r="F803" s="449"/>
      <c r="G803" s="449"/>
      <c r="H803" s="449"/>
      <c r="I803" s="449"/>
      <c r="J803" s="449"/>
      <c r="K803" s="449"/>
      <c r="L803" s="449"/>
      <c r="M803" s="449"/>
      <c r="N803" s="449"/>
      <c r="O803" s="449"/>
      <c r="P803" s="449"/>
      <c r="Q803" s="449"/>
      <c r="R803" s="449"/>
      <c r="S803" s="449"/>
      <c r="T803" s="449"/>
      <c r="U803" s="449"/>
      <c r="V803" s="1040"/>
      <c r="W803" s="1014"/>
      <c r="X803" s="1041"/>
      <c r="Y803" s="449"/>
    </row>
    <row r="804" spans="4:25" ht="30" customHeight="1">
      <c r="D804" s="1042" t="s">
        <v>1902</v>
      </c>
      <c r="E804" s="1043"/>
      <c r="F804" s="1044"/>
      <c r="G804" s="449"/>
      <c r="H804" s="449"/>
      <c r="I804" s="449"/>
      <c r="J804" s="899" t="s">
        <v>1323</v>
      </c>
      <c r="K804" s="998"/>
      <c r="L804" s="998"/>
      <c r="M804" s="998"/>
      <c r="N804" s="998"/>
      <c r="O804" s="999"/>
      <c r="P804" s="273"/>
      <c r="Q804" s="449"/>
      <c r="R804" s="449"/>
      <c r="S804" s="449"/>
      <c r="T804" s="449"/>
      <c r="U804" s="449"/>
      <c r="V804" s="1009"/>
      <c r="W804" s="1010"/>
      <c r="X804" s="1011"/>
      <c r="Y804" s="449"/>
    </row>
    <row r="805" spans="4:25" ht="30" customHeight="1">
      <c r="D805" s="639"/>
      <c r="E805" s="639"/>
      <c r="F805" s="639"/>
      <c r="G805" s="449"/>
      <c r="H805" s="449"/>
      <c r="I805" s="449"/>
      <c r="J805" s="640"/>
      <c r="K805" s="640"/>
      <c r="L805" s="640"/>
      <c r="M805" s="640"/>
      <c r="N805" s="640"/>
      <c r="O805" s="640"/>
      <c r="P805" s="273"/>
      <c r="Q805" s="449"/>
      <c r="R805" s="449"/>
      <c r="S805" s="449"/>
      <c r="T805" s="449"/>
      <c r="U805" s="449"/>
      <c r="V805" s="449"/>
      <c r="W805" s="449"/>
      <c r="X805" s="449"/>
      <c r="Y805" s="449"/>
    </row>
    <row r="806" spans="4:25" ht="30" customHeight="1">
      <c r="D806" s="892" t="s">
        <v>1913</v>
      </c>
      <c r="E806" s="893"/>
      <c r="F806" s="894"/>
      <c r="G806" s="449"/>
      <c r="H806" s="449"/>
      <c r="I806" s="449"/>
      <c r="J806" s="449"/>
      <c r="K806" s="449"/>
      <c r="L806" s="449"/>
      <c r="M806" s="449"/>
      <c r="N806" s="449"/>
      <c r="O806" s="449"/>
      <c r="P806" s="449"/>
      <c r="Q806" s="892" t="s">
        <v>1323</v>
      </c>
      <c r="R806" s="893"/>
      <c r="S806" s="893"/>
      <c r="T806" s="894"/>
      <c r="U806" s="449"/>
      <c r="V806" s="449"/>
      <c r="W806" s="449"/>
      <c r="X806" s="449"/>
      <c r="Y806" s="449"/>
    </row>
    <row r="811" spans="4:25" ht="30" customHeight="1">
      <c r="D811" s="1038" t="s">
        <v>1914</v>
      </c>
      <c r="E811" s="1038"/>
      <c r="F811" s="1038"/>
      <c r="G811" s="1038"/>
      <c r="H811" s="1038"/>
      <c r="I811" s="1038"/>
      <c r="J811" s="1038"/>
      <c r="K811" s="1038"/>
      <c r="L811" s="1038"/>
      <c r="M811" s="1038"/>
      <c r="N811" s="1038"/>
      <c r="O811" s="1038"/>
      <c r="P811" s="1038"/>
      <c r="Q811" s="1038"/>
      <c r="R811" s="1038"/>
      <c r="S811" s="1038"/>
      <c r="T811" s="1038"/>
      <c r="U811" s="1038"/>
      <c r="V811" s="1038"/>
      <c r="W811" s="1038"/>
      <c r="X811" s="1038"/>
      <c r="Y811" s="449"/>
    </row>
    <row r="812" spans="4:25" ht="10.5" customHeight="1">
      <c r="Y812" s="449"/>
    </row>
    <row r="813" spans="4:25" ht="30" customHeight="1">
      <c r="D813" s="729" t="s">
        <v>1889</v>
      </c>
      <c r="E813" s="729"/>
      <c r="F813" s="729"/>
      <c r="G813" s="729"/>
      <c r="H813" s="729"/>
      <c r="I813" s="729"/>
      <c r="J813" s="729"/>
      <c r="K813" s="729"/>
      <c r="L813" s="729"/>
      <c r="M813" s="729"/>
      <c r="N813" s="729"/>
      <c r="O813" s="729"/>
      <c r="P813" s="729"/>
      <c r="Q813" s="729"/>
      <c r="R813" s="729"/>
      <c r="S813" s="729"/>
      <c r="T813" s="729"/>
      <c r="U813" s="729"/>
      <c r="V813" s="729"/>
      <c r="W813" s="729"/>
      <c r="X813" s="729"/>
      <c r="Y813" s="449"/>
    </row>
    <row r="814" spans="4:25" ht="16.5" customHeight="1">
      <c r="Y814" s="449"/>
    </row>
    <row r="815" spans="4:25" ht="30" customHeight="1">
      <c r="D815" s="1013" t="s">
        <v>1860</v>
      </c>
      <c r="E815" s="1013"/>
      <c r="F815" s="1013"/>
      <c r="G815" s="304"/>
      <c r="H815" s="304"/>
      <c r="I815" s="304"/>
      <c r="J815" s="1013" t="s">
        <v>1861</v>
      </c>
      <c r="K815" s="1013"/>
      <c r="L815" s="1013"/>
      <c r="M815" s="1013"/>
      <c r="N815" s="1013"/>
      <c r="O815" s="1013"/>
      <c r="P815" s="1013"/>
      <c r="S815" s="304"/>
      <c r="T815" s="304"/>
      <c r="U815" s="304"/>
      <c r="V815" s="1013" t="s">
        <v>1862</v>
      </c>
      <c r="W815" s="1013"/>
      <c r="X815" s="1013"/>
      <c r="Y815" s="449"/>
    </row>
    <row r="816" spans="4:25" ht="30" customHeight="1">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449"/>
    </row>
    <row r="817" spans="4:25" ht="30" customHeight="1">
      <c r="D817" s="902" t="s">
        <v>1863</v>
      </c>
      <c r="E817" s="900"/>
      <c r="F817" s="901"/>
      <c r="G817" s="304"/>
      <c r="H817" s="304"/>
      <c r="I817" s="304"/>
      <c r="J817" s="304"/>
      <c r="K817" s="304"/>
      <c r="L817" s="902" t="s">
        <v>1864</v>
      </c>
      <c r="M817" s="900"/>
      <c r="N817" s="901"/>
      <c r="O817" s="304"/>
      <c r="P817" s="304"/>
      <c r="Q817" s="899" t="s">
        <v>1865</v>
      </c>
      <c r="R817" s="998"/>
      <c r="S817" s="999"/>
      <c r="T817" s="304"/>
      <c r="U817" s="304"/>
      <c r="V817" s="1006" t="s">
        <v>1915</v>
      </c>
      <c r="W817" s="1007"/>
      <c r="X817" s="1008"/>
      <c r="Y817" s="449"/>
    </row>
    <row r="818" spans="4:25" ht="25.5" customHeight="1">
      <c r="D818" s="304"/>
      <c r="E818" s="304"/>
      <c r="F818" s="304"/>
      <c r="G818" s="304"/>
      <c r="H818" s="304"/>
      <c r="I818" s="304"/>
      <c r="J818" s="304"/>
      <c r="K818" s="304"/>
      <c r="L818" s="304"/>
      <c r="M818" s="304"/>
      <c r="N818" s="304"/>
      <c r="O818" s="304"/>
      <c r="P818" s="304"/>
      <c r="Q818" s="304"/>
      <c r="R818" s="304"/>
      <c r="S818" s="304"/>
      <c r="T818" s="304"/>
      <c r="U818" s="304"/>
      <c r="V818" s="1040"/>
      <c r="W818" s="1014"/>
      <c r="X818" s="1041"/>
      <c r="Y818" s="449"/>
    </row>
    <row r="819" spans="4:25" ht="30" customHeight="1">
      <c r="D819" s="899" t="s">
        <v>1867</v>
      </c>
      <c r="E819" s="998"/>
      <c r="F819" s="999"/>
      <c r="G819" s="304"/>
      <c r="H819" s="304"/>
      <c r="I819" s="304"/>
      <c r="J819" s="304"/>
      <c r="K819" s="304"/>
      <c r="L819" s="899" t="s">
        <v>1868</v>
      </c>
      <c r="M819" s="998"/>
      <c r="N819" s="999"/>
      <c r="O819" s="304"/>
      <c r="P819" s="304"/>
      <c r="Q819" s="899" t="s">
        <v>1323</v>
      </c>
      <c r="R819" s="998"/>
      <c r="S819" s="999"/>
      <c r="T819" s="304"/>
      <c r="U819" s="304"/>
      <c r="V819" s="1040"/>
      <c r="W819" s="1014"/>
      <c r="X819" s="1041"/>
      <c r="Y819" s="449"/>
    </row>
    <row r="820" spans="4:25" ht="24" customHeight="1">
      <c r="D820" s="304"/>
      <c r="E820" s="304"/>
      <c r="F820" s="304"/>
      <c r="G820" s="304"/>
      <c r="H820" s="304"/>
      <c r="I820" s="304"/>
      <c r="J820" s="304"/>
      <c r="K820" s="304"/>
      <c r="L820" s="304"/>
      <c r="M820" s="304"/>
      <c r="N820" s="304"/>
      <c r="O820" s="304"/>
      <c r="P820" s="304"/>
      <c r="Q820" s="304"/>
      <c r="R820" s="304"/>
      <c r="S820" s="304"/>
      <c r="T820" s="304"/>
      <c r="U820" s="304"/>
      <c r="V820" s="1040"/>
      <c r="W820" s="1014"/>
      <c r="X820" s="1041"/>
      <c r="Y820" s="449"/>
    </row>
    <row r="821" spans="4:25" ht="42" customHeight="1">
      <c r="D821" s="902" t="s">
        <v>1870</v>
      </c>
      <c r="E821" s="900"/>
      <c r="F821" s="901"/>
      <c r="G821" s="304"/>
      <c r="H821" s="304"/>
      <c r="I821" s="1042" t="s">
        <v>1323</v>
      </c>
      <c r="J821" s="1043"/>
      <c r="K821" s="1043"/>
      <c r="L821" s="1044"/>
      <c r="M821" s="273"/>
      <c r="N821" s="899" t="s">
        <v>1871</v>
      </c>
      <c r="O821" s="998"/>
      <c r="P821" s="999"/>
      <c r="Q821" s="304"/>
      <c r="R821" s="304"/>
      <c r="S821" s="304"/>
      <c r="T821" s="304"/>
      <c r="U821" s="304"/>
      <c r="V821" s="1040"/>
      <c r="W821" s="1014"/>
      <c r="X821" s="1041"/>
      <c r="Y821" s="449"/>
    </row>
    <row r="822" spans="4:25" ht="24.75" customHeight="1">
      <c r="D822" s="304"/>
      <c r="E822" s="304"/>
      <c r="F822" s="304"/>
      <c r="G822" s="304"/>
      <c r="H822" s="304"/>
      <c r="I822" s="304"/>
      <c r="J822" s="304"/>
      <c r="K822" s="304"/>
      <c r="L822" s="304"/>
      <c r="M822" s="304"/>
      <c r="N822" s="304"/>
      <c r="O822" s="304"/>
      <c r="P822" s="304"/>
      <c r="Q822" s="273"/>
      <c r="R822" s="273"/>
      <c r="S822" s="273"/>
      <c r="T822" s="304"/>
      <c r="U822" s="304"/>
      <c r="V822" s="1040"/>
      <c r="W822" s="1014"/>
      <c r="X822" s="1041"/>
      <c r="Y822" s="449"/>
    </row>
    <row r="823" spans="4:25" ht="36.75" customHeight="1">
      <c r="D823" s="1042" t="s">
        <v>1916</v>
      </c>
      <c r="E823" s="1043"/>
      <c r="F823" s="1044"/>
      <c r="G823" s="304"/>
      <c r="H823" s="304"/>
      <c r="I823" s="304"/>
      <c r="J823" s="304"/>
      <c r="K823" s="304"/>
      <c r="L823" s="304"/>
      <c r="M823" s="304"/>
      <c r="N823" s="304"/>
      <c r="O823" s="304"/>
      <c r="P823" s="304"/>
      <c r="Q823" s="899" t="s">
        <v>1917</v>
      </c>
      <c r="R823" s="998"/>
      <c r="S823" s="999"/>
      <c r="T823" s="304"/>
      <c r="U823" s="304"/>
      <c r="V823" s="1040"/>
      <c r="W823" s="1014"/>
      <c r="X823" s="1041"/>
      <c r="Y823" s="449"/>
    </row>
    <row r="824" spans="4:25" ht="24.75" customHeight="1">
      <c r="D824" s="304"/>
      <c r="E824" s="304"/>
      <c r="F824" s="304"/>
      <c r="G824" s="304"/>
      <c r="H824" s="304"/>
      <c r="I824" s="304"/>
      <c r="J824" s="304"/>
      <c r="K824" s="304"/>
      <c r="L824" s="304"/>
      <c r="M824" s="304"/>
      <c r="N824" s="304"/>
      <c r="O824" s="304"/>
      <c r="P824" s="304"/>
      <c r="Q824" s="273"/>
      <c r="R824" s="273"/>
      <c r="S824" s="273"/>
      <c r="T824" s="304"/>
      <c r="U824" s="304"/>
      <c r="V824" s="1040"/>
      <c r="W824" s="1014"/>
      <c r="X824" s="1041"/>
      <c r="Y824" s="449"/>
    </row>
    <row r="825" spans="4:25" ht="24.75" customHeight="1">
      <c r="D825" s="304"/>
      <c r="E825" s="304"/>
      <c r="F825" s="304"/>
      <c r="G825" s="304"/>
      <c r="H825" s="304"/>
      <c r="I825" s="304"/>
      <c r="J825" s="304"/>
      <c r="K825" s="304"/>
      <c r="L825" s="304"/>
      <c r="M825" s="304"/>
      <c r="N825" s="304"/>
      <c r="O825" s="304"/>
      <c r="P825" s="304"/>
      <c r="Q825" s="273"/>
      <c r="R825" s="273"/>
      <c r="S825" s="273"/>
      <c r="T825" s="304"/>
      <c r="U825" s="304"/>
      <c r="V825" s="1040"/>
      <c r="W825" s="1014"/>
      <c r="X825" s="1041"/>
      <c r="Y825" s="449"/>
    </row>
    <row r="826" spans="4:25" ht="30" customHeight="1">
      <c r="D826" s="1006" t="s">
        <v>1735</v>
      </c>
      <c r="E826" s="1007"/>
      <c r="F826" s="1008"/>
      <c r="G826" s="304"/>
      <c r="H826" s="304"/>
      <c r="I826" s="304"/>
      <c r="J826" s="304"/>
      <c r="K826" s="304"/>
      <c r="L826" s="1000" t="s">
        <v>1908</v>
      </c>
      <c r="M826" s="1001"/>
      <c r="N826" s="1002"/>
      <c r="O826" s="304"/>
      <c r="P826" s="304"/>
      <c r="Q826" s="273"/>
      <c r="R826" s="273"/>
      <c r="S826" s="273"/>
      <c r="T826" s="304"/>
      <c r="U826" s="304"/>
      <c r="V826" s="1040"/>
      <c r="W826" s="1014"/>
      <c r="X826" s="1041"/>
      <c r="Y826" s="449"/>
    </row>
    <row r="827" spans="4:25" ht="30" customHeight="1">
      <c r="D827" s="1009"/>
      <c r="E827" s="1010"/>
      <c r="F827" s="1011"/>
      <c r="G827" s="304"/>
      <c r="H827" s="304"/>
      <c r="I827" s="304"/>
      <c r="J827" s="304"/>
      <c r="K827" s="304"/>
      <c r="L827" s="1003"/>
      <c r="M827" s="1004"/>
      <c r="N827" s="1005"/>
      <c r="O827" s="304"/>
      <c r="P827" s="304"/>
      <c r="Q827" s="273"/>
      <c r="R827" s="273"/>
      <c r="S827" s="273"/>
      <c r="T827" s="304"/>
      <c r="U827" s="304"/>
      <c r="V827" s="1040"/>
      <c r="W827" s="1014"/>
      <c r="X827" s="1041"/>
      <c r="Y827" s="449"/>
    </row>
    <row r="828" spans="4:25" ht="24.75" customHeight="1">
      <c r="D828" s="304"/>
      <c r="E828" s="304"/>
      <c r="F828" s="304"/>
      <c r="G828" s="304"/>
      <c r="H828" s="304"/>
      <c r="I828" s="304"/>
      <c r="J828" s="304"/>
      <c r="K828" s="304"/>
      <c r="L828" s="304"/>
      <c r="M828" s="304"/>
      <c r="N828" s="304"/>
      <c r="O828" s="304"/>
      <c r="P828" s="304"/>
      <c r="Q828" s="304"/>
      <c r="R828" s="304"/>
      <c r="S828" s="304"/>
      <c r="T828" s="304"/>
      <c r="U828" s="304"/>
      <c r="V828" s="1040"/>
      <c r="W828" s="1014"/>
      <c r="X828" s="1041"/>
      <c r="Y828" s="449"/>
    </row>
    <row r="829" spans="4:25" ht="40.5" customHeight="1">
      <c r="D829" s="899" t="s">
        <v>1901</v>
      </c>
      <c r="E829" s="998"/>
      <c r="F829" s="999"/>
      <c r="G829" s="304"/>
      <c r="H829" s="304"/>
      <c r="I829" s="304"/>
      <c r="J829" s="304"/>
      <c r="K829" s="304"/>
      <c r="L829" s="1069" t="s">
        <v>1323</v>
      </c>
      <c r="M829" s="1070"/>
      <c r="N829" s="1071"/>
      <c r="O829" s="304"/>
      <c r="P829" s="304"/>
      <c r="Q829" s="304"/>
      <c r="R829" s="304"/>
      <c r="S829" s="304"/>
      <c r="T829" s="304"/>
      <c r="U829" s="304"/>
      <c r="V829" s="1040"/>
      <c r="W829" s="1014"/>
      <c r="X829" s="1041"/>
      <c r="Y829" s="449"/>
    </row>
    <row r="830" spans="4:25" ht="30" customHeight="1">
      <c r="D830" s="304"/>
      <c r="E830" s="304"/>
      <c r="F830" s="304"/>
      <c r="G830" s="304"/>
      <c r="H830" s="304"/>
      <c r="I830" s="304"/>
      <c r="J830" s="304"/>
      <c r="K830" s="304"/>
      <c r="L830" s="304"/>
      <c r="M830" s="304"/>
      <c r="N830" s="304"/>
      <c r="O830" s="304"/>
      <c r="P830" s="304"/>
      <c r="Q830" s="304"/>
      <c r="R830" s="304"/>
      <c r="S830" s="304"/>
      <c r="T830" s="304"/>
      <c r="U830" s="304"/>
      <c r="V830" s="1040"/>
      <c r="W830" s="1014"/>
      <c r="X830" s="1041"/>
      <c r="Y830" s="449"/>
    </row>
    <row r="831" spans="4:25" ht="30" customHeight="1">
      <c r="D831" s="902" t="s">
        <v>1879</v>
      </c>
      <c r="E831" s="900"/>
      <c r="F831" s="901"/>
      <c r="G831" s="304"/>
      <c r="H831" s="304"/>
      <c r="I831" s="304"/>
      <c r="J831" s="304"/>
      <c r="K831" s="304"/>
      <c r="L831" s="899" t="s">
        <v>1880</v>
      </c>
      <c r="M831" s="998"/>
      <c r="N831" s="999"/>
      <c r="O831" s="304"/>
      <c r="P831" s="304"/>
      <c r="Q831" s="304"/>
      <c r="R831" s="304"/>
      <c r="S831" s="304"/>
      <c r="T831" s="304"/>
      <c r="U831" s="304"/>
      <c r="V831" s="1040"/>
      <c r="W831" s="1014"/>
      <c r="X831" s="1041"/>
      <c r="Y831" s="449"/>
    </row>
    <row r="832" spans="4:25" ht="30" customHeight="1">
      <c r="D832" s="449"/>
      <c r="E832" s="449"/>
      <c r="F832" s="449"/>
      <c r="G832" s="449"/>
      <c r="H832" s="449"/>
      <c r="I832" s="449"/>
      <c r="J832" s="449"/>
      <c r="K832" s="449"/>
      <c r="L832" s="449"/>
      <c r="M832" s="449"/>
      <c r="N832" s="449"/>
      <c r="O832" s="449"/>
      <c r="P832" s="449"/>
      <c r="Q832" s="449"/>
      <c r="R832" s="449"/>
      <c r="S832" s="449"/>
      <c r="T832" s="449"/>
      <c r="U832" s="449"/>
      <c r="V832" s="1040"/>
      <c r="W832" s="1014"/>
      <c r="X832" s="1041"/>
      <c r="Y832" s="449"/>
    </row>
    <row r="833" spans="4:25" ht="30" customHeight="1">
      <c r="D833" s="1000" t="s">
        <v>1902</v>
      </c>
      <c r="E833" s="1001"/>
      <c r="F833" s="1002"/>
      <c r="G833" s="449"/>
      <c r="H833" s="449"/>
      <c r="I833" s="449"/>
      <c r="J833" s="1006" t="s">
        <v>1883</v>
      </c>
      <c r="K833" s="1007"/>
      <c r="L833" s="1007"/>
      <c r="M833" s="1007"/>
      <c r="N833" s="1007"/>
      <c r="O833" s="1008"/>
      <c r="P833" s="273"/>
      <c r="Q833" s="449"/>
      <c r="R833" s="449"/>
      <c r="S833" s="449"/>
      <c r="T833" s="449"/>
      <c r="U833" s="449"/>
      <c r="V833" s="1009"/>
      <c r="W833" s="1010"/>
      <c r="X833" s="1011"/>
      <c r="Y833" s="449"/>
    </row>
    <row r="834" spans="4:25" ht="30" customHeight="1">
      <c r="D834" s="1003"/>
      <c r="E834" s="1004"/>
      <c r="F834" s="1005"/>
      <c r="G834" s="449"/>
      <c r="H834" s="449"/>
      <c r="I834" s="449"/>
      <c r="J834" s="1009"/>
      <c r="K834" s="1010"/>
      <c r="L834" s="1010"/>
      <c r="M834" s="1010"/>
      <c r="N834" s="1010"/>
      <c r="O834" s="1011"/>
      <c r="P834" s="273"/>
      <c r="Q834" s="449"/>
      <c r="R834" s="449"/>
      <c r="S834" s="449"/>
      <c r="T834" s="449"/>
      <c r="U834" s="449"/>
      <c r="V834" s="449"/>
      <c r="W834" s="449"/>
      <c r="X834" s="449"/>
      <c r="Y834" s="449"/>
    </row>
    <row r="835" spans="4:25" ht="30" customHeight="1">
      <c r="D835" s="449"/>
      <c r="E835" s="449"/>
      <c r="F835" s="449"/>
      <c r="G835" s="449"/>
      <c r="H835" s="449"/>
      <c r="I835" s="449"/>
      <c r="J835" s="449"/>
      <c r="K835" s="449"/>
      <c r="L835" s="449"/>
      <c r="M835" s="449"/>
      <c r="N835" s="449"/>
      <c r="O835" s="449"/>
      <c r="P835" s="449"/>
      <c r="Q835" s="449"/>
      <c r="R835" s="449"/>
      <c r="S835" s="449"/>
      <c r="T835" s="449"/>
      <c r="U835" s="449"/>
      <c r="V835" s="449"/>
      <c r="W835" s="449"/>
      <c r="X835" s="449"/>
      <c r="Y835" s="449"/>
    </row>
    <row r="836" spans="4:25" ht="30" customHeight="1">
      <c r="D836" s="449"/>
      <c r="E836" s="449"/>
      <c r="F836" s="449"/>
      <c r="G836" s="449"/>
      <c r="H836" s="449"/>
      <c r="I836" s="449"/>
      <c r="J836" s="449"/>
      <c r="K836" s="449"/>
      <c r="L836" s="449"/>
      <c r="M836" s="449"/>
      <c r="N836" s="449"/>
      <c r="O836" s="449"/>
      <c r="P836" s="449"/>
      <c r="Q836" s="449"/>
      <c r="R836" s="449"/>
      <c r="S836" s="449"/>
      <c r="T836" s="449"/>
      <c r="U836" s="449"/>
      <c r="V836" s="449"/>
      <c r="W836" s="449"/>
      <c r="X836" s="449"/>
      <c r="Y836" s="449"/>
    </row>
    <row r="837" spans="4:25" ht="30" customHeight="1">
      <c r="D837" s="1038" t="s">
        <v>1918</v>
      </c>
      <c r="E837" s="1038"/>
      <c r="F837" s="1038"/>
      <c r="G837" s="1038"/>
      <c r="H837" s="1038"/>
      <c r="I837" s="1038"/>
      <c r="J837" s="1038"/>
      <c r="K837" s="1038"/>
      <c r="L837" s="1038"/>
      <c r="M837" s="1038"/>
      <c r="N837" s="1038"/>
      <c r="O837" s="1038"/>
      <c r="P837" s="1038"/>
      <c r="Q837" s="1038"/>
      <c r="R837" s="1038"/>
      <c r="S837" s="1038"/>
      <c r="T837" s="1038"/>
      <c r="U837" s="1038"/>
      <c r="V837" s="1038"/>
      <c r="W837" s="1038"/>
      <c r="X837" s="1038"/>
      <c r="Y837" s="449"/>
    </row>
    <row r="838" spans="4:25" ht="10.5" customHeight="1">
      <c r="Y838" s="449"/>
    </row>
    <row r="839" spans="4:25" ht="30" customHeight="1">
      <c r="D839" s="729" t="s">
        <v>1892</v>
      </c>
      <c r="E839" s="729"/>
      <c r="F839" s="729"/>
      <c r="G839" s="729"/>
      <c r="H839" s="729"/>
      <c r="I839" s="729"/>
      <c r="J839" s="729"/>
      <c r="K839" s="729"/>
      <c r="L839" s="729"/>
      <c r="M839" s="729"/>
      <c r="N839" s="729"/>
      <c r="O839" s="729"/>
      <c r="P839" s="729"/>
      <c r="Q839" s="729"/>
      <c r="R839" s="729"/>
      <c r="S839" s="729"/>
      <c r="T839" s="729"/>
      <c r="U839" s="729"/>
      <c r="V839" s="729"/>
      <c r="W839" s="729"/>
      <c r="X839" s="729"/>
      <c r="Y839" s="449"/>
    </row>
    <row r="840" spans="4:25" ht="16.5" customHeight="1">
      <c r="Y840" s="449"/>
    </row>
    <row r="841" spans="4:25" ht="30" customHeight="1">
      <c r="D841" s="1013" t="s">
        <v>1860</v>
      </c>
      <c r="E841" s="1013"/>
      <c r="F841" s="1013"/>
      <c r="G841" s="304"/>
      <c r="H841" s="304"/>
      <c r="I841" s="304"/>
      <c r="J841" s="1013" t="s">
        <v>1861</v>
      </c>
      <c r="K841" s="1013"/>
      <c r="L841" s="1013"/>
      <c r="M841" s="1013"/>
      <c r="N841" s="1013"/>
      <c r="O841" s="1013"/>
      <c r="P841" s="1013"/>
      <c r="S841" s="304"/>
      <c r="T841" s="304"/>
      <c r="U841" s="304"/>
      <c r="V841" s="1013" t="s">
        <v>1862</v>
      </c>
      <c r="W841" s="1013"/>
      <c r="X841" s="1013"/>
      <c r="Y841" s="449"/>
    </row>
    <row r="842" spans="4:25" ht="30" customHeight="1">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449"/>
    </row>
    <row r="843" spans="4:25" ht="30" customHeight="1">
      <c r="D843" s="902" t="s">
        <v>1863</v>
      </c>
      <c r="E843" s="900"/>
      <c r="F843" s="901"/>
      <c r="G843" s="304"/>
      <c r="H843" s="304"/>
      <c r="I843" s="304"/>
      <c r="J843" s="304"/>
      <c r="K843" s="304"/>
      <c r="L843" s="902" t="s">
        <v>1864</v>
      </c>
      <c r="M843" s="900"/>
      <c r="N843" s="901"/>
      <c r="O843" s="304"/>
      <c r="P843" s="304"/>
      <c r="Q843" s="899" t="s">
        <v>1865</v>
      </c>
      <c r="R843" s="998"/>
      <c r="S843" s="999"/>
      <c r="T843" s="304"/>
      <c r="U843" s="304"/>
      <c r="V843" s="1006" t="s">
        <v>1915</v>
      </c>
      <c r="W843" s="1007"/>
      <c r="X843" s="1008"/>
      <c r="Y843" s="449"/>
    </row>
    <row r="844" spans="4:25" ht="25.5" customHeight="1">
      <c r="D844" s="304"/>
      <c r="E844" s="304"/>
      <c r="F844" s="304"/>
      <c r="G844" s="304"/>
      <c r="H844" s="304"/>
      <c r="I844" s="304"/>
      <c r="J844" s="304"/>
      <c r="K844" s="304"/>
      <c r="L844" s="304"/>
      <c r="M844" s="304"/>
      <c r="N844" s="304"/>
      <c r="O844" s="304"/>
      <c r="P844" s="304"/>
      <c r="Q844" s="304"/>
      <c r="R844" s="304"/>
      <c r="S844" s="304"/>
      <c r="T844" s="304"/>
      <c r="U844" s="304"/>
      <c r="V844" s="1040"/>
      <c r="W844" s="1014"/>
      <c r="X844" s="1041"/>
      <c r="Y844" s="449"/>
    </row>
    <row r="845" spans="4:25" ht="30" customHeight="1">
      <c r="D845" s="899" t="s">
        <v>1867</v>
      </c>
      <c r="E845" s="998"/>
      <c r="F845" s="999"/>
      <c r="G845" s="304"/>
      <c r="H845" s="304"/>
      <c r="I845" s="304"/>
      <c r="J845" s="304"/>
      <c r="K845" s="304"/>
      <c r="L845" s="899" t="s">
        <v>1868</v>
      </c>
      <c r="M845" s="998"/>
      <c r="N845" s="999"/>
      <c r="O845" s="304"/>
      <c r="P845" s="304"/>
      <c r="Q845" s="899" t="s">
        <v>1323</v>
      </c>
      <c r="R845" s="998"/>
      <c r="S845" s="999"/>
      <c r="T845" s="304"/>
      <c r="U845" s="304"/>
      <c r="V845" s="1040"/>
      <c r="W845" s="1014"/>
      <c r="X845" s="1041"/>
      <c r="Y845" s="449"/>
    </row>
    <row r="846" spans="4:25" ht="24" customHeight="1">
      <c r="D846" s="304"/>
      <c r="E846" s="304"/>
      <c r="F846" s="304"/>
      <c r="G846" s="304"/>
      <c r="H846" s="304"/>
      <c r="I846" s="304"/>
      <c r="J846" s="304"/>
      <c r="K846" s="304"/>
      <c r="L846" s="304"/>
      <c r="M846" s="304"/>
      <c r="N846" s="304"/>
      <c r="O846" s="304"/>
      <c r="P846" s="304"/>
      <c r="Q846" s="304"/>
      <c r="R846" s="304"/>
      <c r="S846" s="304"/>
      <c r="T846" s="304"/>
      <c r="U846" s="304"/>
      <c r="V846" s="1040"/>
      <c r="W846" s="1014"/>
      <c r="X846" s="1041"/>
      <c r="Y846" s="449"/>
    </row>
    <row r="847" spans="4:25" ht="42" customHeight="1">
      <c r="D847" s="902" t="s">
        <v>1870</v>
      </c>
      <c r="E847" s="900"/>
      <c r="F847" s="901"/>
      <c r="G847" s="304"/>
      <c r="H847" s="304"/>
      <c r="I847" s="1042" t="s">
        <v>1323</v>
      </c>
      <c r="J847" s="1043"/>
      <c r="K847" s="1043"/>
      <c r="L847" s="1044"/>
      <c r="M847" s="273"/>
      <c r="N847" s="899" t="s">
        <v>1871</v>
      </c>
      <c r="O847" s="998"/>
      <c r="P847" s="999"/>
      <c r="Q847" s="304"/>
      <c r="R847" s="304"/>
      <c r="S847" s="304"/>
      <c r="T847" s="304"/>
      <c r="U847" s="304"/>
      <c r="V847" s="1040"/>
      <c r="W847" s="1014"/>
      <c r="X847" s="1041"/>
      <c r="Y847" s="449"/>
    </row>
    <row r="848" spans="4:25" ht="24.75" customHeight="1">
      <c r="D848" s="304"/>
      <c r="E848" s="304"/>
      <c r="F848" s="304"/>
      <c r="G848" s="304"/>
      <c r="H848" s="304"/>
      <c r="I848" s="304"/>
      <c r="J848" s="304"/>
      <c r="K848" s="304"/>
      <c r="L848" s="304"/>
      <c r="M848" s="304"/>
      <c r="N848" s="304"/>
      <c r="O848" s="304"/>
      <c r="P848" s="304"/>
      <c r="Q848" s="273"/>
      <c r="R848" s="273"/>
      <c r="S848" s="273"/>
      <c r="T848" s="304"/>
      <c r="U848" s="304"/>
      <c r="V848" s="1040"/>
      <c r="W848" s="1014"/>
      <c r="X848" s="1041"/>
      <c r="Y848" s="449"/>
    </row>
    <row r="849" spans="4:25" ht="36.75" customHeight="1">
      <c r="D849" s="1042" t="s">
        <v>1916</v>
      </c>
      <c r="E849" s="1043"/>
      <c r="F849" s="1044"/>
      <c r="G849" s="304"/>
      <c r="H849" s="304"/>
      <c r="I849" s="304"/>
      <c r="J849" s="304"/>
      <c r="K849" s="304"/>
      <c r="L849" s="304"/>
      <c r="M849" s="304"/>
      <c r="N849" s="304"/>
      <c r="O849" s="304"/>
      <c r="P849" s="304"/>
      <c r="Q849" s="899" t="s">
        <v>1917</v>
      </c>
      <c r="R849" s="998"/>
      <c r="S849" s="999"/>
      <c r="T849" s="304"/>
      <c r="U849" s="304"/>
      <c r="V849" s="1040"/>
      <c r="W849" s="1014"/>
      <c r="X849" s="1041"/>
      <c r="Y849" s="449"/>
    </row>
    <row r="850" spans="4:25" ht="24.75" customHeight="1">
      <c r="D850" s="304"/>
      <c r="E850" s="304"/>
      <c r="F850" s="304"/>
      <c r="G850" s="304"/>
      <c r="H850" s="304"/>
      <c r="I850" s="304"/>
      <c r="J850" s="304"/>
      <c r="K850" s="304"/>
      <c r="L850" s="304"/>
      <c r="M850" s="304"/>
      <c r="N850" s="304"/>
      <c r="O850" s="304"/>
      <c r="P850" s="304"/>
      <c r="Q850" s="273"/>
      <c r="R850" s="273"/>
      <c r="S850" s="273"/>
      <c r="T850" s="304"/>
      <c r="U850" s="304"/>
      <c r="V850" s="1040"/>
      <c r="W850" s="1014"/>
      <c r="X850" s="1041"/>
      <c r="Y850" s="449"/>
    </row>
    <row r="851" spans="4:25" ht="24.75" customHeight="1">
      <c r="D851" s="304"/>
      <c r="E851" s="304"/>
      <c r="F851" s="304"/>
      <c r="G851" s="304"/>
      <c r="H851" s="304"/>
      <c r="I851" s="304"/>
      <c r="J851" s="304"/>
      <c r="K851" s="304"/>
      <c r="L851" s="304"/>
      <c r="M851" s="304"/>
      <c r="N851" s="304"/>
      <c r="O851" s="304"/>
      <c r="P851" s="304"/>
      <c r="Q851" s="273"/>
      <c r="R851" s="273"/>
      <c r="S851" s="273"/>
      <c r="T851" s="304"/>
      <c r="U851" s="304"/>
      <c r="V851" s="1040"/>
      <c r="W851" s="1014"/>
      <c r="X851" s="1041"/>
      <c r="Y851" s="449"/>
    </row>
    <row r="852" spans="4:25" ht="30" customHeight="1">
      <c r="D852" s="1006" t="s">
        <v>1735</v>
      </c>
      <c r="E852" s="1007"/>
      <c r="F852" s="1008"/>
      <c r="G852" s="304"/>
      <c r="H852" s="304"/>
      <c r="I852" s="304"/>
      <c r="J852" s="304"/>
      <c r="K852" s="304"/>
      <c r="L852" s="1000" t="s">
        <v>1908</v>
      </c>
      <c r="M852" s="1001"/>
      <c r="N852" s="1002"/>
      <c r="O852" s="304"/>
      <c r="P852" s="304"/>
      <c r="Q852" s="273"/>
      <c r="R852" s="273"/>
      <c r="S852" s="273"/>
      <c r="T852" s="304"/>
      <c r="U852" s="304"/>
      <c r="V852" s="1040"/>
      <c r="W852" s="1014"/>
      <c r="X852" s="1041"/>
      <c r="Y852" s="449"/>
    </row>
    <row r="853" spans="4:25" ht="30" customHeight="1">
      <c r="D853" s="1009"/>
      <c r="E853" s="1010"/>
      <c r="F853" s="1011"/>
      <c r="G853" s="304"/>
      <c r="H853" s="304"/>
      <c r="I853" s="304"/>
      <c r="J853" s="304"/>
      <c r="K853" s="304"/>
      <c r="L853" s="1003"/>
      <c r="M853" s="1004"/>
      <c r="N853" s="1005"/>
      <c r="O853" s="304"/>
      <c r="P853" s="304"/>
      <c r="Q853" s="273"/>
      <c r="R853" s="273"/>
      <c r="S853" s="273"/>
      <c r="T853" s="304"/>
      <c r="U853" s="304"/>
      <c r="V853" s="1040"/>
      <c r="W853" s="1014"/>
      <c r="X853" s="1041"/>
      <c r="Y853" s="449"/>
    </row>
    <row r="854" spans="4:25" ht="24.75" customHeight="1">
      <c r="D854" s="304"/>
      <c r="E854" s="304"/>
      <c r="F854" s="304"/>
      <c r="G854" s="304"/>
      <c r="H854" s="304"/>
      <c r="I854" s="304"/>
      <c r="J854" s="304"/>
      <c r="K854" s="304"/>
      <c r="L854" s="304"/>
      <c r="M854" s="304"/>
      <c r="N854" s="304"/>
      <c r="O854" s="304"/>
      <c r="P854" s="304"/>
      <c r="Q854" s="304"/>
      <c r="R854" s="304"/>
      <c r="S854" s="304"/>
      <c r="T854" s="304"/>
      <c r="U854" s="304"/>
      <c r="V854" s="1040"/>
      <c r="W854" s="1014"/>
      <c r="X854" s="1041"/>
      <c r="Y854" s="449"/>
    </row>
    <row r="855" spans="4:25" ht="40.5" customHeight="1">
      <c r="D855" s="899" t="s">
        <v>1901</v>
      </c>
      <c r="E855" s="998"/>
      <c r="F855" s="999"/>
      <c r="G855" s="304"/>
      <c r="H855" s="304"/>
      <c r="I855" s="304"/>
      <c r="J855" s="304"/>
      <c r="K855" s="304"/>
      <c r="L855" s="1069" t="s">
        <v>1323</v>
      </c>
      <c r="M855" s="1070"/>
      <c r="N855" s="1071"/>
      <c r="O855" s="304"/>
      <c r="P855" s="304"/>
      <c r="Q855" s="304"/>
      <c r="R855" s="304"/>
      <c r="S855" s="304"/>
      <c r="T855" s="304"/>
      <c r="U855" s="304"/>
      <c r="V855" s="1040"/>
      <c r="W855" s="1014"/>
      <c r="X855" s="1041"/>
      <c r="Y855" s="449"/>
    </row>
    <row r="856" spans="4:25" ht="30" customHeight="1">
      <c r="D856" s="304"/>
      <c r="E856" s="304"/>
      <c r="F856" s="304"/>
      <c r="G856" s="304"/>
      <c r="H856" s="304"/>
      <c r="I856" s="304"/>
      <c r="J856" s="304"/>
      <c r="K856" s="304"/>
      <c r="L856" s="304"/>
      <c r="M856" s="304"/>
      <c r="N856" s="304"/>
      <c r="O856" s="304"/>
      <c r="P856" s="304"/>
      <c r="Q856" s="304"/>
      <c r="R856" s="304"/>
      <c r="S856" s="304"/>
      <c r="T856" s="304"/>
      <c r="U856" s="304"/>
      <c r="V856" s="1040"/>
      <c r="W856" s="1014"/>
      <c r="X856" s="1041"/>
      <c r="Y856" s="449"/>
    </row>
    <row r="857" spans="4:25" ht="30" customHeight="1">
      <c r="D857" s="902" t="s">
        <v>1879</v>
      </c>
      <c r="E857" s="900"/>
      <c r="F857" s="901"/>
      <c r="G857" s="304"/>
      <c r="H857" s="304"/>
      <c r="I857" s="304"/>
      <c r="J857" s="304"/>
      <c r="K857" s="304"/>
      <c r="L857" s="899" t="s">
        <v>1880</v>
      </c>
      <c r="M857" s="998"/>
      <c r="N857" s="999"/>
      <c r="O857" s="304"/>
      <c r="P857" s="304"/>
      <c r="Q857" s="304"/>
      <c r="R857" s="304"/>
      <c r="S857" s="304"/>
      <c r="T857" s="304"/>
      <c r="U857" s="304"/>
      <c r="V857" s="1040"/>
      <c r="W857" s="1014"/>
      <c r="X857" s="1041"/>
      <c r="Y857" s="449"/>
    </row>
    <row r="858" spans="4:25" ht="30" customHeight="1">
      <c r="D858" s="449"/>
      <c r="E858" s="449"/>
      <c r="F858" s="449"/>
      <c r="G858" s="449"/>
      <c r="H858" s="449"/>
      <c r="I858" s="449"/>
      <c r="J858" s="449"/>
      <c r="K858" s="449"/>
      <c r="L858" s="449"/>
      <c r="M858" s="449"/>
      <c r="N858" s="449"/>
      <c r="O858" s="449"/>
      <c r="P858" s="449"/>
      <c r="Q858" s="449"/>
      <c r="R858" s="449"/>
      <c r="S858" s="449"/>
      <c r="T858" s="449"/>
      <c r="U858" s="449"/>
      <c r="V858" s="1040"/>
      <c r="W858" s="1014"/>
      <c r="X858" s="1041"/>
      <c r="Y858" s="449"/>
    </row>
    <row r="859" spans="4:25" ht="30" customHeight="1">
      <c r="D859" s="1000" t="s">
        <v>1902</v>
      </c>
      <c r="E859" s="1001"/>
      <c r="F859" s="1002"/>
      <c r="G859" s="449"/>
      <c r="H859" s="449"/>
      <c r="I859" s="449"/>
      <c r="J859" s="1006" t="s">
        <v>1883</v>
      </c>
      <c r="K859" s="1007"/>
      <c r="L859" s="1007"/>
      <c r="M859" s="1007"/>
      <c r="N859" s="1007"/>
      <c r="O859" s="1008"/>
      <c r="P859" s="273"/>
      <c r="Q859" s="449"/>
      <c r="R859" s="449"/>
      <c r="S859" s="449"/>
      <c r="T859" s="449"/>
      <c r="U859" s="449"/>
      <c r="V859" s="1009"/>
      <c r="W859" s="1010"/>
      <c r="X859" s="1011"/>
      <c r="Y859" s="449"/>
    </row>
    <row r="860" spans="4:25" ht="30" customHeight="1">
      <c r="D860" s="1003"/>
      <c r="E860" s="1004"/>
      <c r="F860" s="1005"/>
      <c r="G860" s="449"/>
      <c r="H860" s="449"/>
      <c r="I860" s="449"/>
      <c r="J860" s="1009"/>
      <c r="K860" s="1010"/>
      <c r="L860" s="1010"/>
      <c r="M860" s="1010"/>
      <c r="N860" s="1010"/>
      <c r="O860" s="1011"/>
      <c r="P860" s="273"/>
      <c r="Q860" s="449"/>
      <c r="R860" s="449"/>
      <c r="S860" s="449"/>
      <c r="T860" s="449"/>
      <c r="U860" s="449"/>
      <c r="V860" s="449"/>
      <c r="W860" s="449"/>
      <c r="X860" s="449"/>
      <c r="Y860" s="449"/>
    </row>
    <row r="862" spans="4:25">
      <c r="D862" s="883" t="s">
        <v>1060</v>
      </c>
      <c r="E862" s="883"/>
      <c r="F862" s="883"/>
      <c r="G862" s="883"/>
      <c r="H862" s="883"/>
      <c r="I862" s="883"/>
      <c r="J862" s="883"/>
      <c r="K862" s="883"/>
      <c r="L862" s="883"/>
      <c r="M862" s="883"/>
      <c r="N862" s="883"/>
      <c r="O862" s="883"/>
      <c r="P862" s="883"/>
      <c r="Q862" s="883"/>
      <c r="R862" s="883"/>
      <c r="S862" s="883"/>
      <c r="T862" s="883"/>
      <c r="U862" s="883"/>
      <c r="V862" s="883"/>
      <c r="W862" s="883"/>
      <c r="X862" s="883"/>
      <c r="Y862" s="883"/>
    </row>
    <row r="863" spans="4:25">
      <c r="D863" s="803" t="s">
        <v>1062</v>
      </c>
      <c r="E863" s="803"/>
      <c r="F863" s="803"/>
      <c r="G863" s="803"/>
      <c r="H863" s="803"/>
      <c r="I863" s="803"/>
      <c r="J863" s="803"/>
      <c r="K863" s="803"/>
      <c r="L863" s="803"/>
      <c r="M863" s="803"/>
      <c r="N863" s="803"/>
      <c r="O863" s="803"/>
      <c r="P863" s="803"/>
      <c r="Q863" s="803"/>
      <c r="R863" s="803"/>
      <c r="S863" s="803"/>
      <c r="T863" s="803"/>
      <c r="U863" s="803"/>
      <c r="V863" s="803"/>
      <c r="W863" s="803"/>
      <c r="X863" s="803"/>
      <c r="Y863" s="803"/>
    </row>
    <row r="864" spans="4:25">
      <c r="D864" s="486"/>
      <c r="E864" s="486"/>
      <c r="F864" s="486"/>
      <c r="G864" s="486"/>
      <c r="H864" s="486"/>
      <c r="I864" s="486"/>
      <c r="J864" s="486"/>
      <c r="K864" s="486"/>
      <c r="L864" s="486"/>
      <c r="M864" s="486"/>
      <c r="N864" s="486"/>
      <c r="O864" s="486"/>
      <c r="P864" s="486"/>
      <c r="Q864" s="486"/>
      <c r="R864" s="486"/>
      <c r="S864" s="486"/>
      <c r="T864" s="486"/>
      <c r="U864" s="486"/>
      <c r="V864" s="486"/>
      <c r="W864" s="486"/>
      <c r="X864" s="486"/>
      <c r="Y864" s="486"/>
    </row>
    <row r="865" spans="4:40" ht="21" customHeight="1">
      <c r="D865" s="2" t="s">
        <v>881</v>
      </c>
      <c r="E865" s="852" t="s">
        <v>1064</v>
      </c>
      <c r="F865" s="852"/>
      <c r="G865" s="852"/>
      <c r="H865" s="852"/>
      <c r="I865" s="852"/>
      <c r="J865" s="852"/>
      <c r="K865" s="852"/>
      <c r="L865" s="852"/>
      <c r="M865" s="852"/>
      <c r="N865" s="852" t="s">
        <v>1061</v>
      </c>
      <c r="O865" s="852"/>
      <c r="P865" s="852"/>
      <c r="Q865" s="852"/>
      <c r="R865" s="852"/>
      <c r="S865" s="852"/>
      <c r="T865" s="852"/>
      <c r="U865" s="852"/>
      <c r="V865" s="852"/>
      <c r="W865" s="852"/>
      <c r="X865" s="852"/>
      <c r="Y865" s="852"/>
    </row>
    <row r="866" spans="4:40" ht="23.25" customHeight="1">
      <c r="D866" s="474">
        <v>1</v>
      </c>
      <c r="E866" s="779" t="s">
        <v>1063</v>
      </c>
      <c r="F866" s="779"/>
      <c r="G866" s="779"/>
      <c r="H866" s="779"/>
      <c r="I866" s="779"/>
      <c r="J866" s="779"/>
      <c r="K866" s="779"/>
      <c r="L866" s="779"/>
      <c r="M866" s="779"/>
      <c r="N866" s="779" t="s">
        <v>1560</v>
      </c>
      <c r="O866" s="779"/>
      <c r="P866" s="779"/>
      <c r="Q866" s="779"/>
      <c r="R866" s="779"/>
      <c r="S866" s="779"/>
      <c r="T866" s="779"/>
      <c r="U866" s="779"/>
      <c r="V866" s="779"/>
      <c r="W866" s="779"/>
      <c r="X866" s="779"/>
      <c r="Y866" s="779"/>
    </row>
    <row r="867" spans="4:40" ht="63" customHeight="1">
      <c r="D867" s="474">
        <v>2</v>
      </c>
      <c r="E867" s="779" t="s">
        <v>1065</v>
      </c>
      <c r="F867" s="779"/>
      <c r="G867" s="779"/>
      <c r="H867" s="779"/>
      <c r="I867" s="779"/>
      <c r="J867" s="779"/>
      <c r="K867" s="779"/>
      <c r="L867" s="779"/>
      <c r="M867" s="779"/>
      <c r="N867" s="807" t="s">
        <v>1565</v>
      </c>
      <c r="O867" s="788"/>
      <c r="P867" s="788"/>
      <c r="Q867" s="788"/>
      <c r="R867" s="788"/>
      <c r="S867" s="788"/>
      <c r="T867" s="788"/>
      <c r="U867" s="788"/>
      <c r="V867" s="788"/>
      <c r="W867" s="788"/>
      <c r="X867" s="788"/>
      <c r="Y867" s="788"/>
      <c r="AC867" s="807" t="s">
        <v>1066</v>
      </c>
      <c r="AD867" s="788"/>
      <c r="AE867" s="788"/>
      <c r="AF867" s="788"/>
      <c r="AG867" s="788"/>
      <c r="AH867" s="788"/>
      <c r="AI867" s="788"/>
      <c r="AJ867" s="788"/>
      <c r="AK867" s="788"/>
      <c r="AL867" s="788"/>
      <c r="AM867" s="788"/>
      <c r="AN867" s="788"/>
    </row>
    <row r="868" spans="4:40" ht="37.5" customHeight="1">
      <c r="D868" s="474">
        <v>3</v>
      </c>
      <c r="E868" s="800" t="s">
        <v>1067</v>
      </c>
      <c r="F868" s="800"/>
      <c r="G868" s="800"/>
      <c r="H868" s="800"/>
      <c r="I868" s="800"/>
      <c r="J868" s="800"/>
      <c r="K868" s="800"/>
      <c r="L868" s="800"/>
      <c r="M868" s="800"/>
      <c r="N868" s="1050" t="s">
        <v>1561</v>
      </c>
      <c r="O868" s="1050"/>
      <c r="P868" s="1050"/>
      <c r="Q868" s="1050"/>
      <c r="R868" s="1050"/>
      <c r="S868" s="1050"/>
      <c r="T868" s="1050"/>
      <c r="U868" s="1050"/>
      <c r="V868" s="1050"/>
      <c r="W868" s="1050"/>
      <c r="X868" s="1050"/>
      <c r="Y868" s="1050"/>
      <c r="AC868" s="808">
        <v>9822508968</v>
      </c>
      <c r="AD868" s="808"/>
      <c r="AE868" s="808"/>
      <c r="AF868" s="805" t="s">
        <v>1544</v>
      </c>
      <c r="AG868" s="804"/>
      <c r="AH868" s="804"/>
    </row>
    <row r="869" spans="4:40" ht="99.75" customHeight="1">
      <c r="D869" s="474">
        <v>4</v>
      </c>
      <c r="E869" s="779" t="s">
        <v>1068</v>
      </c>
      <c r="F869" s="779"/>
      <c r="G869" s="779"/>
      <c r="H869" s="779"/>
      <c r="I869" s="779"/>
      <c r="J869" s="779"/>
      <c r="K869" s="779"/>
      <c r="L869" s="779"/>
      <c r="M869" s="779"/>
      <c r="N869" s="807" t="s">
        <v>1613</v>
      </c>
      <c r="O869" s="807"/>
      <c r="P869" s="807"/>
      <c r="Q869" s="807"/>
      <c r="R869" s="807"/>
      <c r="S869" s="807"/>
      <c r="T869" s="807"/>
      <c r="U869" s="807"/>
      <c r="V869" s="807"/>
      <c r="W869" s="807"/>
      <c r="X869" s="807"/>
      <c r="Y869" s="807"/>
    </row>
    <row r="870" spans="4:40">
      <c r="D870" s="487">
        <v>5</v>
      </c>
      <c r="E870" s="1048" t="s">
        <v>1070</v>
      </c>
      <c r="F870" s="1048"/>
      <c r="G870" s="1048"/>
      <c r="H870" s="1048"/>
      <c r="I870" s="1048"/>
      <c r="J870" s="1048"/>
      <c r="K870" s="1048"/>
      <c r="L870" s="1048"/>
      <c r="M870" s="1048"/>
      <c r="N870" s="1048" t="s">
        <v>1562</v>
      </c>
      <c r="O870" s="1048"/>
      <c r="P870" s="1048"/>
      <c r="Q870" s="1048"/>
      <c r="R870" s="1048"/>
      <c r="S870" s="1048"/>
      <c r="T870" s="1048"/>
      <c r="U870" s="1048"/>
      <c r="V870" s="1048"/>
      <c r="W870" s="1048"/>
      <c r="X870" s="1048"/>
      <c r="Y870" s="1048"/>
    </row>
    <row r="871" spans="4:40">
      <c r="D871" s="488"/>
      <c r="E871" s="1049"/>
      <c r="F871" s="1049"/>
      <c r="G871" s="1049"/>
      <c r="H871" s="1049"/>
      <c r="I871" s="1049"/>
      <c r="J871" s="1049"/>
      <c r="K871" s="1049"/>
      <c r="L871" s="1049"/>
      <c r="M871" s="1049"/>
      <c r="N871" s="1049" t="s">
        <v>1563</v>
      </c>
      <c r="O871" s="1049"/>
      <c r="P871" s="1049"/>
      <c r="Q871" s="1049"/>
      <c r="R871" s="1049"/>
      <c r="S871" s="1049"/>
      <c r="T871" s="1049"/>
      <c r="U871" s="1049"/>
      <c r="V871" s="1049"/>
      <c r="W871" s="1049"/>
      <c r="X871" s="1049"/>
      <c r="Y871" s="1049"/>
    </row>
    <row r="872" spans="4:40" ht="19.5" customHeight="1">
      <c r="D872" s="9">
        <v>5.0999999999999996</v>
      </c>
      <c r="E872" s="788" t="s">
        <v>1073</v>
      </c>
      <c r="F872" s="788"/>
      <c r="G872" s="788"/>
      <c r="H872" s="788"/>
      <c r="I872" s="788"/>
      <c r="J872" s="788"/>
      <c r="K872" s="788"/>
      <c r="L872" s="788"/>
      <c r="M872" s="788"/>
      <c r="N872" s="788" t="s">
        <v>1611</v>
      </c>
      <c r="O872" s="788"/>
      <c r="P872" s="788"/>
      <c r="Q872" s="788"/>
      <c r="R872" s="788"/>
      <c r="S872" s="788"/>
      <c r="T872" s="788"/>
      <c r="U872" s="788"/>
      <c r="V872" s="788"/>
      <c r="W872" s="788"/>
      <c r="X872" s="788"/>
      <c r="Y872" s="788"/>
    </row>
    <row r="873" spans="4:40" ht="18.75" customHeight="1">
      <c r="D873" s="9">
        <v>6</v>
      </c>
      <c r="E873" s="788" t="s">
        <v>1074</v>
      </c>
      <c r="F873" s="788"/>
      <c r="G873" s="788"/>
      <c r="H873" s="788"/>
      <c r="I873" s="788"/>
      <c r="J873" s="788"/>
      <c r="K873" s="788"/>
      <c r="L873" s="788"/>
      <c r="M873" s="788"/>
      <c r="N873" s="788" t="s">
        <v>1612</v>
      </c>
      <c r="O873" s="788"/>
      <c r="P873" s="788"/>
      <c r="Q873" s="788"/>
      <c r="R873" s="788"/>
      <c r="S873" s="788"/>
      <c r="T873" s="788"/>
      <c r="U873" s="788"/>
      <c r="V873" s="788"/>
      <c r="W873" s="788"/>
      <c r="X873" s="788"/>
      <c r="Y873" s="788"/>
    </row>
    <row r="874" spans="4:40" ht="41.25" customHeight="1">
      <c r="D874" s="9">
        <v>7</v>
      </c>
      <c r="E874" s="807" t="s">
        <v>1075</v>
      </c>
      <c r="F874" s="807"/>
      <c r="G874" s="807"/>
      <c r="H874" s="807"/>
      <c r="I874" s="807"/>
      <c r="J874" s="807"/>
      <c r="K874" s="807"/>
      <c r="L874" s="807"/>
      <c r="M874" s="807"/>
      <c r="N874" s="788" t="s">
        <v>1564</v>
      </c>
      <c r="O874" s="788"/>
      <c r="P874" s="788"/>
      <c r="Q874" s="788"/>
      <c r="R874" s="788"/>
      <c r="S874" s="788"/>
      <c r="T874" s="788"/>
      <c r="U874" s="788"/>
      <c r="V874" s="788"/>
      <c r="W874" s="788"/>
      <c r="X874" s="788"/>
      <c r="Y874" s="788"/>
    </row>
    <row r="875" spans="4:40" ht="9" customHeight="1">
      <c r="D875" s="1045">
        <v>8</v>
      </c>
      <c r="E875" s="1033" t="s">
        <v>1076</v>
      </c>
      <c r="F875" s="1034"/>
      <c r="G875" s="1034"/>
      <c r="H875" s="1034"/>
      <c r="I875" s="1034"/>
      <c r="J875" s="1034"/>
      <c r="K875" s="1034"/>
      <c r="L875" s="1034"/>
      <c r="M875" s="1035"/>
      <c r="N875" s="482"/>
      <c r="O875" s="468"/>
      <c r="P875" s="468"/>
      <c r="Q875" s="468"/>
      <c r="R875" s="468"/>
      <c r="S875" s="468"/>
      <c r="T875" s="468"/>
      <c r="U875" s="468"/>
      <c r="V875" s="468"/>
      <c r="W875" s="468"/>
      <c r="X875" s="468"/>
      <c r="Y875" s="489"/>
    </row>
    <row r="876" spans="4:40">
      <c r="D876" s="1046"/>
      <c r="E876" s="1054"/>
      <c r="F876" s="1055"/>
      <c r="G876" s="1055"/>
      <c r="H876" s="1055"/>
      <c r="I876" s="1055"/>
      <c r="J876" s="1055"/>
      <c r="K876" s="1055"/>
      <c r="L876" s="1055"/>
      <c r="M876" s="1056"/>
      <c r="N876" s="483"/>
      <c r="O876" s="786" t="s">
        <v>1077</v>
      </c>
      <c r="P876" s="786"/>
      <c r="Q876" s="786"/>
      <c r="R876" s="786"/>
      <c r="S876" s="786" t="s">
        <v>1078</v>
      </c>
      <c r="T876" s="786"/>
      <c r="U876" s="786"/>
      <c r="V876" s="786" t="s">
        <v>1079</v>
      </c>
      <c r="W876" s="786"/>
      <c r="X876" s="786"/>
      <c r="Y876" s="490"/>
    </row>
    <row r="877" spans="4:40">
      <c r="D877" s="1046"/>
      <c r="E877" s="1054"/>
      <c r="F877" s="1055"/>
      <c r="G877" s="1055"/>
      <c r="H877" s="1055"/>
      <c r="I877" s="1055"/>
      <c r="J877" s="1055"/>
      <c r="K877" s="1055"/>
      <c r="L877" s="1055"/>
      <c r="M877" s="1056"/>
      <c r="N877" s="483"/>
      <c r="O877" s="786" t="s">
        <v>1566</v>
      </c>
      <c r="P877" s="786"/>
      <c r="Q877" s="786"/>
      <c r="R877" s="786"/>
      <c r="S877" s="786" t="s">
        <v>1572</v>
      </c>
      <c r="T877" s="786"/>
      <c r="U877" s="786"/>
      <c r="V877" s="789">
        <v>83</v>
      </c>
      <c r="W877" s="786"/>
      <c r="X877" s="786"/>
      <c r="Y877" s="490"/>
    </row>
    <row r="878" spans="4:40">
      <c r="D878" s="1046"/>
      <c r="E878" s="1054"/>
      <c r="F878" s="1055"/>
      <c r="G878" s="1055"/>
      <c r="H878" s="1055"/>
      <c r="I878" s="1055"/>
      <c r="J878" s="1055"/>
      <c r="K878" s="1055"/>
      <c r="L878" s="1055"/>
      <c r="M878" s="1056"/>
      <c r="N878" s="483"/>
      <c r="O878" s="786" t="s">
        <v>1567</v>
      </c>
      <c r="P878" s="786"/>
      <c r="Q878" s="786"/>
      <c r="R878" s="786"/>
      <c r="S878" s="786" t="s">
        <v>1572</v>
      </c>
      <c r="T878" s="786"/>
      <c r="U878" s="786"/>
      <c r="V878" s="789">
        <v>65</v>
      </c>
      <c r="W878" s="786"/>
      <c r="X878" s="786"/>
      <c r="Y878" s="490"/>
    </row>
    <row r="879" spans="4:40">
      <c r="D879" s="1046"/>
      <c r="E879" s="1054"/>
      <c r="F879" s="1055"/>
      <c r="G879" s="1055"/>
      <c r="H879" s="1055"/>
      <c r="I879" s="1055"/>
      <c r="J879" s="1055"/>
      <c r="K879" s="1055"/>
      <c r="L879" s="1055"/>
      <c r="M879" s="1056"/>
      <c r="N879" s="483"/>
      <c r="O879" s="812" t="s">
        <v>1574</v>
      </c>
      <c r="P879" s="813"/>
      <c r="Q879" s="813"/>
      <c r="R879" s="814"/>
      <c r="S879" s="812" t="s">
        <v>1572</v>
      </c>
      <c r="T879" s="813"/>
      <c r="U879" s="814"/>
      <c r="V879" s="798">
        <v>19</v>
      </c>
      <c r="W879" s="815"/>
      <c r="X879" s="799"/>
      <c r="Y879" s="490"/>
    </row>
    <row r="880" spans="4:40">
      <c r="D880" s="1046"/>
      <c r="E880" s="1054"/>
      <c r="F880" s="1055"/>
      <c r="G880" s="1055"/>
      <c r="H880" s="1055"/>
      <c r="I880" s="1055"/>
      <c r="J880" s="1055"/>
      <c r="K880" s="1055"/>
      <c r="L880" s="1055"/>
      <c r="M880" s="1056"/>
      <c r="N880" s="483"/>
      <c r="O880" s="812" t="s">
        <v>1088</v>
      </c>
      <c r="P880" s="813"/>
      <c r="Q880" s="813"/>
      <c r="R880" s="814"/>
      <c r="S880" s="812" t="s">
        <v>1572</v>
      </c>
      <c r="T880" s="813"/>
      <c r="U880" s="814"/>
      <c r="V880" s="798">
        <v>250</v>
      </c>
      <c r="W880" s="813"/>
      <c r="X880" s="814"/>
      <c r="Y880" s="490"/>
    </row>
    <row r="881" spans="4:25">
      <c r="D881" s="1046"/>
      <c r="E881" s="1054"/>
      <c r="F881" s="1055"/>
      <c r="G881" s="1055"/>
      <c r="H881" s="1055"/>
      <c r="I881" s="1055"/>
      <c r="J881" s="1055"/>
      <c r="K881" s="1055"/>
      <c r="L881" s="1055"/>
      <c r="M881" s="1056"/>
      <c r="N881" s="483"/>
      <c r="O881" s="812" t="s">
        <v>1568</v>
      </c>
      <c r="P881" s="813"/>
      <c r="Q881" s="813"/>
      <c r="R881" s="814"/>
      <c r="S881" s="812" t="s">
        <v>1572</v>
      </c>
      <c r="T881" s="813"/>
      <c r="U881" s="814"/>
      <c r="V881" s="798">
        <v>4</v>
      </c>
      <c r="W881" s="813"/>
      <c r="X881" s="814"/>
      <c r="Y881" s="490"/>
    </row>
    <row r="882" spans="4:25">
      <c r="D882" s="1046"/>
      <c r="E882" s="1054"/>
      <c r="F882" s="1055"/>
      <c r="G882" s="1055"/>
      <c r="H882" s="1055"/>
      <c r="I882" s="1055"/>
      <c r="J882" s="1055"/>
      <c r="K882" s="1055"/>
      <c r="L882" s="1055"/>
      <c r="M882" s="1056"/>
      <c r="N882" s="483"/>
      <c r="O882" s="812" t="s">
        <v>1090</v>
      </c>
      <c r="P882" s="813"/>
      <c r="Q882" s="813"/>
      <c r="R882" s="814"/>
      <c r="S882" s="812" t="s">
        <v>1572</v>
      </c>
      <c r="T882" s="813"/>
      <c r="U882" s="814"/>
      <c r="V882" s="798">
        <v>4</v>
      </c>
      <c r="W882" s="813"/>
      <c r="X882" s="814"/>
      <c r="Y882" s="490"/>
    </row>
    <row r="883" spans="4:25">
      <c r="D883" s="1046"/>
      <c r="E883" s="1054"/>
      <c r="F883" s="1055"/>
      <c r="G883" s="1055"/>
      <c r="H883" s="1055"/>
      <c r="I883" s="1055"/>
      <c r="J883" s="1055"/>
      <c r="K883" s="1055"/>
      <c r="L883" s="1055"/>
      <c r="M883" s="1056"/>
      <c r="N883" s="483"/>
      <c r="O883" s="812" t="s">
        <v>1569</v>
      </c>
      <c r="P883" s="813"/>
      <c r="Q883" s="813"/>
      <c r="R883" s="814"/>
      <c r="S883" s="812" t="s">
        <v>1572</v>
      </c>
      <c r="T883" s="813"/>
      <c r="U883" s="814"/>
      <c r="V883" s="798">
        <v>4</v>
      </c>
      <c r="W883" s="813"/>
      <c r="X883" s="814"/>
      <c r="Y883" s="490"/>
    </row>
    <row r="884" spans="4:25">
      <c r="D884" s="1046"/>
      <c r="E884" s="1054"/>
      <c r="F884" s="1055"/>
      <c r="G884" s="1055"/>
      <c r="H884" s="1055"/>
      <c r="I884" s="1055"/>
      <c r="J884" s="1055"/>
      <c r="K884" s="1055"/>
      <c r="L884" s="1055"/>
      <c r="M884" s="1056"/>
      <c r="N884" s="483"/>
      <c r="O884" s="812" t="s">
        <v>1091</v>
      </c>
      <c r="P884" s="813"/>
      <c r="Q884" s="813"/>
      <c r="R884" s="814"/>
      <c r="S884" s="812" t="s">
        <v>1573</v>
      </c>
      <c r="T884" s="813"/>
      <c r="U884" s="814"/>
      <c r="V884" s="798">
        <v>80</v>
      </c>
      <c r="W884" s="813"/>
      <c r="X884" s="814"/>
      <c r="Y884" s="490"/>
    </row>
    <row r="885" spans="4:25">
      <c r="D885" s="1046"/>
      <c r="E885" s="1054"/>
      <c r="F885" s="1055"/>
      <c r="G885" s="1055"/>
      <c r="H885" s="1055"/>
      <c r="I885" s="1055"/>
      <c r="J885" s="1055"/>
      <c r="K885" s="1055"/>
      <c r="L885" s="1055"/>
      <c r="M885" s="1056"/>
      <c r="N885" s="483"/>
      <c r="O885" s="812" t="s">
        <v>1570</v>
      </c>
      <c r="P885" s="813"/>
      <c r="Q885" s="813"/>
      <c r="R885" s="814"/>
      <c r="S885" s="812" t="s">
        <v>1573</v>
      </c>
      <c r="T885" s="813"/>
      <c r="U885" s="814"/>
      <c r="V885" s="798">
        <v>208</v>
      </c>
      <c r="W885" s="813"/>
      <c r="X885" s="814"/>
      <c r="Y885" s="490"/>
    </row>
    <row r="886" spans="4:25">
      <c r="D886" s="1046"/>
      <c r="E886" s="1054"/>
      <c r="F886" s="1055"/>
      <c r="G886" s="1055"/>
      <c r="H886" s="1055"/>
      <c r="I886" s="1055"/>
      <c r="J886" s="1055"/>
      <c r="K886" s="1055"/>
      <c r="L886" s="1055"/>
      <c r="M886" s="1056"/>
      <c r="N886" s="483"/>
      <c r="O886" s="812" t="s">
        <v>1571</v>
      </c>
      <c r="P886" s="813"/>
      <c r="Q886" s="813"/>
      <c r="R886" s="814"/>
      <c r="S886" s="812" t="s">
        <v>1573</v>
      </c>
      <c r="T886" s="813"/>
      <c r="U886" s="814"/>
      <c r="V886" s="798">
        <v>250</v>
      </c>
      <c r="W886" s="813"/>
      <c r="X886" s="814"/>
      <c r="Y886" s="490"/>
    </row>
    <row r="887" spans="4:25">
      <c r="D887" s="1046"/>
      <c r="E887" s="1054"/>
      <c r="F887" s="1055"/>
      <c r="G887" s="1055"/>
      <c r="H887" s="1055"/>
      <c r="I887" s="1055"/>
      <c r="J887" s="1055"/>
      <c r="K887" s="1055"/>
      <c r="L887" s="1055"/>
      <c r="M887" s="1056"/>
      <c r="N887" s="483"/>
      <c r="O887" s="786"/>
      <c r="P887" s="786"/>
      <c r="Q887" s="786"/>
      <c r="R887" s="786"/>
      <c r="S887" s="786"/>
      <c r="T887" s="786"/>
      <c r="U887" s="786"/>
      <c r="V887" s="786"/>
      <c r="W887" s="786"/>
      <c r="X887" s="786"/>
      <c r="Y887" s="490"/>
    </row>
    <row r="888" spans="4:25">
      <c r="D888" s="1046"/>
      <c r="E888" s="1054"/>
      <c r="F888" s="1055"/>
      <c r="G888" s="1055"/>
      <c r="H888" s="1055"/>
      <c r="I888" s="1055"/>
      <c r="J888" s="1055"/>
      <c r="K888" s="1055"/>
      <c r="L888" s="1055"/>
      <c r="M888" s="1056"/>
      <c r="N888" s="483"/>
      <c r="O888" s="786"/>
      <c r="P888" s="786"/>
      <c r="Q888" s="786"/>
      <c r="R888" s="786"/>
      <c r="S888" s="786"/>
      <c r="T888" s="786"/>
      <c r="U888" s="786"/>
      <c r="V888" s="786"/>
      <c r="W888" s="786"/>
      <c r="X888" s="786"/>
      <c r="Y888" s="490"/>
    </row>
    <row r="889" spans="4:25">
      <c r="D889" s="1046"/>
      <c r="E889" s="1054"/>
      <c r="F889" s="1055"/>
      <c r="G889" s="1055"/>
      <c r="H889" s="1055"/>
      <c r="I889" s="1055"/>
      <c r="J889" s="1055"/>
      <c r="K889" s="1055"/>
      <c r="L889" s="1055"/>
      <c r="M889" s="1056"/>
      <c r="N889" s="483"/>
      <c r="O889" s="786"/>
      <c r="P889" s="786"/>
      <c r="Q889" s="786"/>
      <c r="R889" s="786"/>
      <c r="S889" s="786"/>
      <c r="T889" s="786"/>
      <c r="U889" s="786"/>
      <c r="V889" s="786"/>
      <c r="W889" s="786"/>
      <c r="X889" s="786"/>
      <c r="Y889" s="490"/>
    </row>
    <row r="890" spans="4:25">
      <c r="D890" s="1046"/>
      <c r="E890" s="1054"/>
      <c r="F890" s="1055"/>
      <c r="G890" s="1055"/>
      <c r="H890" s="1055"/>
      <c r="I890" s="1055"/>
      <c r="J890" s="1055"/>
      <c r="K890" s="1055"/>
      <c r="L890" s="1055"/>
      <c r="M890" s="1056"/>
      <c r="N890" s="483"/>
      <c r="O890" s="786"/>
      <c r="P890" s="786"/>
      <c r="Q890" s="786"/>
      <c r="R890" s="786"/>
      <c r="S890" s="786"/>
      <c r="T890" s="786"/>
      <c r="U890" s="786"/>
      <c r="V890" s="786"/>
      <c r="W890" s="786"/>
      <c r="X890" s="786"/>
      <c r="Y890" s="490"/>
    </row>
    <row r="891" spans="4:25">
      <c r="D891" s="1046"/>
      <c r="E891" s="1054"/>
      <c r="F891" s="1055"/>
      <c r="G891" s="1055"/>
      <c r="H891" s="1055"/>
      <c r="I891" s="1055"/>
      <c r="J891" s="1055"/>
      <c r="K891" s="1055"/>
      <c r="L891" s="1055"/>
      <c r="M891" s="1056"/>
      <c r="N891" s="483"/>
      <c r="O891" s="786"/>
      <c r="P891" s="786"/>
      <c r="Q891" s="786"/>
      <c r="R891" s="786"/>
      <c r="S891" s="786"/>
      <c r="T891" s="786"/>
      <c r="U891" s="786"/>
      <c r="V891" s="786"/>
      <c r="W891" s="786"/>
      <c r="X891" s="786"/>
      <c r="Y891" s="490"/>
    </row>
    <row r="892" spans="4:25" ht="5.25" customHeight="1">
      <c r="D892" s="1047"/>
      <c r="E892" s="1030"/>
      <c r="F892" s="1031"/>
      <c r="G892" s="1031"/>
      <c r="H892" s="1031"/>
      <c r="I892" s="1031"/>
      <c r="J892" s="1031"/>
      <c r="K892" s="1031"/>
      <c r="L892" s="1031"/>
      <c r="M892" s="1032"/>
      <c r="N892" s="484"/>
      <c r="O892" s="491"/>
      <c r="P892" s="491"/>
      <c r="Q892" s="491"/>
      <c r="R892" s="491"/>
      <c r="S892" s="491"/>
      <c r="T892" s="491"/>
      <c r="U892" s="491"/>
      <c r="V892" s="491"/>
      <c r="W892" s="491"/>
      <c r="X892" s="491"/>
      <c r="Y892" s="492"/>
    </row>
    <row r="893" spans="4:25">
      <c r="D893" s="487"/>
      <c r="E893" s="1053"/>
      <c r="F893" s="1053"/>
      <c r="G893" s="1053"/>
      <c r="H893" s="1053"/>
      <c r="I893" s="1053"/>
      <c r="J893" s="1053"/>
      <c r="K893" s="1053"/>
      <c r="L893" s="1053"/>
      <c r="M893" s="1053"/>
      <c r="N893" s="1053"/>
      <c r="O893" s="1053"/>
      <c r="P893" s="1053"/>
      <c r="Q893" s="1053"/>
      <c r="R893" s="1053"/>
      <c r="S893" s="1053"/>
      <c r="T893" s="1053"/>
      <c r="U893" s="1053"/>
      <c r="V893" s="1053"/>
      <c r="W893" s="1053"/>
      <c r="X893" s="1053"/>
      <c r="Y893" s="1053"/>
    </row>
    <row r="894" spans="4:25" ht="25.5" customHeight="1">
      <c r="D894" s="493">
        <v>9</v>
      </c>
      <c r="E894" s="809" t="s">
        <v>1080</v>
      </c>
      <c r="F894" s="810"/>
      <c r="G894" s="810"/>
      <c r="H894" s="810"/>
      <c r="I894" s="810"/>
      <c r="J894" s="810"/>
      <c r="K894" s="810"/>
      <c r="L894" s="810"/>
      <c r="M894" s="811"/>
      <c r="N894" s="1052" t="s">
        <v>1081</v>
      </c>
      <c r="O894" s="1052"/>
      <c r="P894" s="1052"/>
      <c r="Q894" s="1052"/>
      <c r="R894" s="1052"/>
      <c r="S894" s="1052"/>
      <c r="T894" s="1052"/>
      <c r="U894" s="1052"/>
      <c r="V894" s="1052"/>
      <c r="W894" s="1052"/>
      <c r="X894" s="1052"/>
      <c r="Y894" s="1052"/>
    </row>
    <row r="895" spans="4:25" ht="29.25" customHeight="1">
      <c r="D895" s="493"/>
      <c r="E895" s="809"/>
      <c r="F895" s="810"/>
      <c r="G895" s="810"/>
      <c r="H895" s="810"/>
      <c r="I895" s="810"/>
      <c r="J895" s="810"/>
      <c r="K895" s="810"/>
      <c r="L895" s="810"/>
      <c r="M895" s="811"/>
      <c r="N895" s="1052" t="s">
        <v>1576</v>
      </c>
      <c r="O895" s="1052"/>
      <c r="P895" s="1052"/>
      <c r="Q895" s="1052"/>
      <c r="R895" s="1052"/>
      <c r="S895" s="1052"/>
      <c r="T895" s="1052"/>
      <c r="U895" s="1052"/>
      <c r="V895" s="1052"/>
      <c r="W895" s="1052"/>
      <c r="X895" s="1052"/>
      <c r="Y895" s="1052"/>
    </row>
    <row r="896" spans="4:25" ht="29.25" customHeight="1">
      <c r="D896" s="493"/>
      <c r="E896" s="809"/>
      <c r="F896" s="810"/>
      <c r="G896" s="810"/>
      <c r="H896" s="810"/>
      <c r="I896" s="810"/>
      <c r="J896" s="810"/>
      <c r="K896" s="810"/>
      <c r="L896" s="810"/>
      <c r="M896" s="811"/>
      <c r="N896" s="1052" t="s">
        <v>1575</v>
      </c>
      <c r="O896" s="1052"/>
      <c r="P896" s="1052"/>
      <c r="Q896" s="1052"/>
      <c r="R896" s="1052"/>
      <c r="S896" s="1052"/>
      <c r="T896" s="1052"/>
      <c r="U896" s="1052"/>
      <c r="V896" s="1052"/>
      <c r="W896" s="1052"/>
      <c r="X896" s="1052"/>
      <c r="Y896" s="1052"/>
    </row>
    <row r="897" spans="4:34">
      <c r="D897" s="488"/>
      <c r="E897" s="1051"/>
      <c r="F897" s="1051"/>
      <c r="G897" s="1051"/>
      <c r="H897" s="1051"/>
      <c r="I897" s="1051"/>
      <c r="J897" s="1051"/>
      <c r="K897" s="1051"/>
      <c r="L897" s="1051"/>
      <c r="M897" s="1051"/>
      <c r="N897" s="1051"/>
      <c r="O897" s="1051"/>
      <c r="P897" s="1051"/>
      <c r="Q897" s="1051"/>
      <c r="R897" s="1051"/>
      <c r="S897" s="1051"/>
      <c r="T897" s="1051"/>
      <c r="U897" s="1051"/>
      <c r="V897" s="1051"/>
      <c r="W897" s="1051"/>
      <c r="X897" s="1051"/>
      <c r="Y897" s="1051"/>
    </row>
    <row r="900" spans="4:34">
      <c r="D900" s="803" t="s">
        <v>1486</v>
      </c>
      <c r="E900" s="803"/>
      <c r="F900" s="803"/>
      <c r="G900" s="803"/>
      <c r="H900" s="803"/>
      <c r="I900" s="803"/>
      <c r="J900" s="803"/>
      <c r="K900" s="803"/>
      <c r="L900" s="803"/>
      <c r="M900" s="803"/>
      <c r="N900" s="803"/>
      <c r="O900" s="803"/>
      <c r="P900" s="803"/>
      <c r="Q900" s="803"/>
      <c r="R900" s="803"/>
      <c r="S900" s="803"/>
      <c r="T900" s="803"/>
      <c r="U900" s="803"/>
      <c r="V900" s="803"/>
      <c r="W900" s="803"/>
      <c r="X900" s="803"/>
      <c r="Y900" s="803"/>
    </row>
    <row r="901" spans="4:34">
      <c r="D901" s="448"/>
      <c r="E901" s="448"/>
      <c r="F901" s="448"/>
      <c r="G901" s="448"/>
      <c r="H901" s="448"/>
      <c r="I901" s="448"/>
      <c r="J901" s="448"/>
      <c r="K901" s="448"/>
      <c r="L901" s="448"/>
      <c r="M901" s="448"/>
      <c r="N901" s="448"/>
      <c r="O901" s="448"/>
      <c r="P901" s="448"/>
      <c r="Q901" s="448"/>
      <c r="R901" s="448"/>
      <c r="S901" s="448"/>
      <c r="T901" s="448"/>
      <c r="U901" s="448"/>
      <c r="V901" s="448"/>
      <c r="W901" s="448"/>
      <c r="X901" s="448"/>
      <c r="Y901" s="448"/>
    </row>
    <row r="902" spans="4:34" ht="23.25" customHeight="1">
      <c r="D902" s="503" t="s">
        <v>881</v>
      </c>
      <c r="E902" s="995" t="s">
        <v>1064</v>
      </c>
      <c r="F902" s="995"/>
      <c r="G902" s="995"/>
      <c r="H902" s="995"/>
      <c r="I902" s="995"/>
      <c r="J902" s="995"/>
      <c r="K902" s="995"/>
      <c r="L902" s="995"/>
      <c r="M902" s="995"/>
      <c r="N902" s="995" t="s">
        <v>1061</v>
      </c>
      <c r="O902" s="995"/>
      <c r="P902" s="995"/>
      <c r="Q902" s="995"/>
      <c r="R902" s="995"/>
      <c r="S902" s="995"/>
      <c r="T902" s="995"/>
      <c r="U902" s="995"/>
      <c r="V902" s="995"/>
      <c r="W902" s="995"/>
      <c r="X902" s="995"/>
      <c r="Y902" s="995"/>
    </row>
    <row r="903" spans="4:34" ht="28.5" customHeight="1">
      <c r="D903" s="474">
        <v>1</v>
      </c>
      <c r="E903" s="779" t="s">
        <v>1063</v>
      </c>
      <c r="F903" s="779"/>
      <c r="G903" s="779"/>
      <c r="H903" s="779"/>
      <c r="I903" s="779"/>
      <c r="J903" s="779"/>
      <c r="K903" s="779"/>
      <c r="L903" s="779"/>
      <c r="M903" s="779"/>
      <c r="N903" s="779" t="s">
        <v>1577</v>
      </c>
      <c r="O903" s="779"/>
      <c r="P903" s="779"/>
      <c r="Q903" s="779"/>
      <c r="R903" s="779"/>
      <c r="S903" s="779"/>
      <c r="T903" s="779"/>
      <c r="U903" s="779"/>
      <c r="V903" s="779"/>
      <c r="W903" s="779"/>
      <c r="X903" s="779"/>
      <c r="Y903" s="779"/>
    </row>
    <row r="904" spans="4:34" ht="82.5" customHeight="1">
      <c r="D904" s="474">
        <v>2</v>
      </c>
      <c r="E904" s="779" t="s">
        <v>1065</v>
      </c>
      <c r="F904" s="779"/>
      <c r="G904" s="779"/>
      <c r="H904" s="779"/>
      <c r="I904" s="779"/>
      <c r="J904" s="779"/>
      <c r="K904" s="779"/>
      <c r="L904" s="779"/>
      <c r="M904" s="779"/>
      <c r="N904" s="800" t="s">
        <v>1578</v>
      </c>
      <c r="O904" s="779"/>
      <c r="P904" s="779"/>
      <c r="Q904" s="779"/>
      <c r="R904" s="779"/>
      <c r="S904" s="779"/>
      <c r="T904" s="779"/>
      <c r="U904" s="779"/>
      <c r="V904" s="779"/>
      <c r="W904" s="779"/>
      <c r="X904" s="779"/>
      <c r="Y904" s="779"/>
    </row>
    <row r="905" spans="4:34" ht="45.75" customHeight="1">
      <c r="D905" s="474">
        <v>3</v>
      </c>
      <c r="E905" s="800" t="s">
        <v>1067</v>
      </c>
      <c r="F905" s="800"/>
      <c r="G905" s="800"/>
      <c r="H905" s="800"/>
      <c r="I905" s="800"/>
      <c r="J905" s="800"/>
      <c r="K905" s="800"/>
      <c r="L905" s="800"/>
      <c r="M905" s="800"/>
      <c r="N905" s="800" t="s">
        <v>1608</v>
      </c>
      <c r="O905" s="800"/>
      <c r="P905" s="800"/>
      <c r="Q905" s="800"/>
      <c r="R905" s="800"/>
      <c r="S905" s="800"/>
      <c r="T905" s="800"/>
      <c r="U905" s="800"/>
      <c r="V905" s="800"/>
      <c r="W905" s="800"/>
      <c r="X905" s="800"/>
      <c r="Y905" s="800"/>
      <c r="AC905" s="804">
        <v>9011065021</v>
      </c>
      <c r="AD905" s="804"/>
      <c r="AE905" s="804"/>
      <c r="AF905" s="805" t="s">
        <v>1545</v>
      </c>
      <c r="AG905" s="804"/>
      <c r="AH905" s="804"/>
    </row>
    <row r="906" spans="4:34" ht="90.75" customHeight="1">
      <c r="D906" s="474">
        <v>4</v>
      </c>
      <c r="E906" s="779" t="s">
        <v>1068</v>
      </c>
      <c r="F906" s="779"/>
      <c r="G906" s="779"/>
      <c r="H906" s="779"/>
      <c r="I906" s="779"/>
      <c r="J906" s="779"/>
      <c r="K906" s="779"/>
      <c r="L906" s="779"/>
      <c r="M906" s="779"/>
      <c r="N906" s="807" t="s">
        <v>1069</v>
      </c>
      <c r="O906" s="807"/>
      <c r="P906" s="807"/>
      <c r="Q906" s="807"/>
      <c r="R906" s="807"/>
      <c r="S906" s="807"/>
      <c r="T906" s="807"/>
      <c r="U906" s="807"/>
      <c r="V906" s="807"/>
      <c r="W906" s="807"/>
      <c r="X906" s="807"/>
      <c r="Y906" s="807"/>
      <c r="AC906" s="804">
        <v>8408963151</v>
      </c>
      <c r="AD906" s="804"/>
      <c r="AE906" s="804"/>
      <c r="AF906" s="805" t="s">
        <v>1524</v>
      </c>
      <c r="AG906" s="804"/>
      <c r="AH906" s="804"/>
    </row>
    <row r="907" spans="4:34">
      <c r="D907" s="487">
        <v>5</v>
      </c>
      <c r="E907" s="1048" t="s">
        <v>1070</v>
      </c>
      <c r="F907" s="1048"/>
      <c r="G907" s="1048"/>
      <c r="H907" s="1048"/>
      <c r="I907" s="1048"/>
      <c r="J907" s="1048"/>
      <c r="K907" s="1048"/>
      <c r="L907" s="1048"/>
      <c r="M907" s="1048"/>
      <c r="N907" s="1048" t="s">
        <v>1562</v>
      </c>
      <c r="O907" s="1048"/>
      <c r="P907" s="1048"/>
      <c r="Q907" s="1048"/>
      <c r="R907" s="1048"/>
      <c r="S907" s="1048"/>
      <c r="T907" s="1048"/>
      <c r="U907" s="1048"/>
      <c r="V907" s="1048"/>
      <c r="W907" s="1048"/>
      <c r="X907" s="1048"/>
      <c r="Y907" s="1048"/>
    </row>
    <row r="908" spans="4:34">
      <c r="D908" s="488"/>
      <c r="E908" s="1049"/>
      <c r="F908" s="1049"/>
      <c r="G908" s="1049"/>
      <c r="H908" s="1049"/>
      <c r="I908" s="1049"/>
      <c r="J908" s="1049"/>
      <c r="K908" s="1049"/>
      <c r="L908" s="1049"/>
      <c r="M908" s="1049"/>
      <c r="N908" s="1049" t="s">
        <v>1579</v>
      </c>
      <c r="O908" s="1049"/>
      <c r="P908" s="1049"/>
      <c r="Q908" s="1049"/>
      <c r="R908" s="1049"/>
      <c r="S908" s="1049"/>
      <c r="T908" s="1049"/>
      <c r="U908" s="1049"/>
      <c r="V908" s="1049"/>
      <c r="W908" s="1049"/>
      <c r="X908" s="1049"/>
      <c r="Y908" s="1049"/>
    </row>
    <row r="909" spans="4:34" ht="26.25" customHeight="1">
      <c r="D909" s="526">
        <v>5.0999999999999996</v>
      </c>
      <c r="E909" s="806" t="s">
        <v>1073</v>
      </c>
      <c r="F909" s="806"/>
      <c r="G909" s="806"/>
      <c r="H909" s="806"/>
      <c r="I909" s="806"/>
      <c r="J909" s="806"/>
      <c r="K909" s="806"/>
      <c r="L909" s="806"/>
      <c r="M909" s="806"/>
      <c r="N909" s="806" t="s">
        <v>1609</v>
      </c>
      <c r="O909" s="806"/>
      <c r="P909" s="806"/>
      <c r="Q909" s="806"/>
      <c r="R909" s="806"/>
      <c r="S909" s="806"/>
      <c r="T909" s="806"/>
      <c r="U909" s="806"/>
      <c r="V909" s="806"/>
      <c r="W909" s="806"/>
      <c r="X909" s="806"/>
      <c r="Y909" s="806"/>
    </row>
    <row r="910" spans="4:34" ht="26.25" customHeight="1">
      <c r="D910" s="80">
        <v>6</v>
      </c>
      <c r="E910" s="806" t="s">
        <v>1074</v>
      </c>
      <c r="F910" s="806"/>
      <c r="G910" s="806"/>
      <c r="H910" s="806"/>
      <c r="I910" s="806"/>
      <c r="J910" s="806"/>
      <c r="K910" s="806"/>
      <c r="L910" s="806"/>
      <c r="M910" s="806"/>
      <c r="N910" s="806" t="s">
        <v>1616</v>
      </c>
      <c r="O910" s="806"/>
      <c r="P910" s="806"/>
      <c r="Q910" s="806"/>
      <c r="R910" s="806"/>
      <c r="S910" s="806"/>
      <c r="T910" s="806"/>
      <c r="U910" s="806"/>
      <c r="V910" s="806"/>
      <c r="W910" s="806"/>
      <c r="X910" s="806"/>
      <c r="Y910" s="806"/>
    </row>
    <row r="911" spans="4:34" ht="41.25" customHeight="1">
      <c r="D911" s="80">
        <v>7</v>
      </c>
      <c r="E911" s="807" t="s">
        <v>1075</v>
      </c>
      <c r="F911" s="807"/>
      <c r="G911" s="807"/>
      <c r="H911" s="807"/>
      <c r="I911" s="807"/>
      <c r="J911" s="807"/>
      <c r="K911" s="807"/>
      <c r="L911" s="807"/>
      <c r="M911" s="807"/>
      <c r="N911" s="788" t="s">
        <v>1610</v>
      </c>
      <c r="O911" s="788"/>
      <c r="P911" s="788"/>
      <c r="Q911" s="788"/>
      <c r="R911" s="788"/>
      <c r="S911" s="788"/>
      <c r="T911" s="788"/>
      <c r="U911" s="788"/>
      <c r="V911" s="788"/>
      <c r="W911" s="788"/>
      <c r="X911" s="788"/>
      <c r="Y911" s="788"/>
    </row>
    <row r="912" spans="4:34" ht="17.25" customHeight="1">
      <c r="D912" s="1045">
        <v>8</v>
      </c>
      <c r="E912" s="1033" t="s">
        <v>1076</v>
      </c>
      <c r="F912" s="1034"/>
      <c r="G912" s="1034"/>
      <c r="H912" s="1034"/>
      <c r="I912" s="1034"/>
      <c r="J912" s="1034"/>
      <c r="K912" s="1034"/>
      <c r="L912" s="1034"/>
      <c r="M912" s="1035"/>
      <c r="N912" s="482"/>
      <c r="O912" s="468"/>
      <c r="P912" s="468"/>
      <c r="Q912" s="468"/>
      <c r="R912" s="468"/>
      <c r="S912" s="468"/>
      <c r="T912" s="468"/>
      <c r="U912" s="468"/>
      <c r="V912" s="468"/>
      <c r="W912" s="468"/>
      <c r="X912" s="468"/>
      <c r="Y912" s="489"/>
    </row>
    <row r="913" spans="4:25">
      <c r="D913" s="1046"/>
      <c r="E913" s="1054"/>
      <c r="F913" s="1055"/>
      <c r="G913" s="1055"/>
      <c r="H913" s="1055"/>
      <c r="I913" s="1055"/>
      <c r="J913" s="1055"/>
      <c r="K913" s="1055"/>
      <c r="L913" s="1055"/>
      <c r="M913" s="1056"/>
      <c r="N913" s="483"/>
      <c r="O913" s="786" t="s">
        <v>1077</v>
      </c>
      <c r="P913" s="786"/>
      <c r="Q913" s="786"/>
      <c r="R913" s="786"/>
      <c r="S913" s="786" t="s">
        <v>1078</v>
      </c>
      <c r="T913" s="786"/>
      <c r="U913" s="786"/>
      <c r="V913" s="786" t="s">
        <v>1079</v>
      </c>
      <c r="W913" s="786"/>
      <c r="X913" s="786"/>
      <c r="Y913" s="490"/>
    </row>
    <row r="914" spans="4:25">
      <c r="D914" s="1046"/>
      <c r="E914" s="1054"/>
      <c r="F914" s="1055"/>
      <c r="G914" s="1055"/>
      <c r="H914" s="1055"/>
      <c r="I914" s="1055"/>
      <c r="J914" s="1055"/>
      <c r="K914" s="1055"/>
      <c r="L914" s="1055"/>
      <c r="M914" s="1056"/>
      <c r="N914" s="483"/>
      <c r="O914" s="786" t="s">
        <v>1092</v>
      </c>
      <c r="P914" s="786"/>
      <c r="Q914" s="786"/>
      <c r="R914" s="786"/>
      <c r="S914" s="786" t="s">
        <v>1573</v>
      </c>
      <c r="T914" s="786"/>
      <c r="U914" s="786"/>
      <c r="V914" s="789">
        <v>128</v>
      </c>
      <c r="W914" s="786"/>
      <c r="X914" s="786"/>
      <c r="Y914" s="490"/>
    </row>
    <row r="915" spans="4:25">
      <c r="D915" s="1046"/>
      <c r="E915" s="1054"/>
      <c r="F915" s="1055"/>
      <c r="G915" s="1055"/>
      <c r="H915" s="1055"/>
      <c r="I915" s="1055"/>
      <c r="J915" s="1055"/>
      <c r="K915" s="1055"/>
      <c r="L915" s="1055"/>
      <c r="M915" s="1056"/>
      <c r="N915" s="483"/>
      <c r="O915" s="786" t="s">
        <v>1088</v>
      </c>
      <c r="P915" s="786"/>
      <c r="Q915" s="786"/>
      <c r="R915" s="786"/>
      <c r="S915" s="786" t="s">
        <v>1573</v>
      </c>
      <c r="T915" s="786"/>
      <c r="U915" s="786"/>
      <c r="V915" s="789">
        <v>115</v>
      </c>
      <c r="W915" s="786"/>
      <c r="X915" s="786"/>
      <c r="Y915" s="490"/>
    </row>
    <row r="916" spans="4:25">
      <c r="D916" s="1046"/>
      <c r="E916" s="1054"/>
      <c r="F916" s="1055"/>
      <c r="G916" s="1055"/>
      <c r="H916" s="1055"/>
      <c r="I916" s="1055"/>
      <c r="J916" s="1055"/>
      <c r="K916" s="1055"/>
      <c r="L916" s="1055"/>
      <c r="M916" s="1056"/>
      <c r="N916" s="483"/>
      <c r="O916" s="786" t="s">
        <v>1574</v>
      </c>
      <c r="P916" s="786"/>
      <c r="Q916" s="786"/>
      <c r="R916" s="786"/>
      <c r="S916" s="786" t="s">
        <v>1573</v>
      </c>
      <c r="T916" s="786"/>
      <c r="U916" s="786"/>
      <c r="V916" s="789">
        <v>40</v>
      </c>
      <c r="W916" s="786"/>
      <c r="X916" s="786"/>
      <c r="Y916" s="490"/>
    </row>
    <row r="917" spans="4:25">
      <c r="D917" s="1046"/>
      <c r="E917" s="1054"/>
      <c r="F917" s="1055"/>
      <c r="G917" s="1055"/>
      <c r="H917" s="1055"/>
      <c r="I917" s="1055"/>
      <c r="J917" s="1055"/>
      <c r="K917" s="1055"/>
      <c r="L917" s="1055"/>
      <c r="M917" s="1056"/>
      <c r="N917" s="483"/>
      <c r="O917" s="786" t="s">
        <v>1089</v>
      </c>
      <c r="P917" s="786"/>
      <c r="Q917" s="786"/>
      <c r="R917" s="786"/>
      <c r="S917" s="786" t="s">
        <v>1573</v>
      </c>
      <c r="T917" s="786"/>
      <c r="U917" s="786"/>
      <c r="V917" s="789">
        <v>70</v>
      </c>
      <c r="W917" s="786"/>
      <c r="X917" s="786"/>
      <c r="Y917" s="490"/>
    </row>
    <row r="918" spans="4:25">
      <c r="D918" s="1046"/>
      <c r="E918" s="1054"/>
      <c r="F918" s="1055"/>
      <c r="G918" s="1055"/>
      <c r="H918" s="1055"/>
      <c r="I918" s="1055"/>
      <c r="J918" s="1055"/>
      <c r="K918" s="1055"/>
      <c r="L918" s="1055"/>
      <c r="M918" s="1056"/>
      <c r="N918" s="483"/>
      <c r="O918" s="786" t="s">
        <v>1580</v>
      </c>
      <c r="P918" s="786"/>
      <c r="Q918" s="786"/>
      <c r="R918" s="786"/>
      <c r="S918" s="786" t="s">
        <v>1573</v>
      </c>
      <c r="T918" s="786"/>
      <c r="U918" s="786"/>
      <c r="V918" s="789">
        <v>80</v>
      </c>
      <c r="W918" s="786"/>
      <c r="X918" s="786"/>
      <c r="Y918" s="490"/>
    </row>
    <row r="919" spans="4:25">
      <c r="D919" s="1046"/>
      <c r="E919" s="1054"/>
      <c r="F919" s="1055"/>
      <c r="G919" s="1055"/>
      <c r="H919" s="1055"/>
      <c r="I919" s="1055"/>
      <c r="J919" s="1055"/>
      <c r="K919" s="1055"/>
      <c r="L919" s="1055"/>
      <c r="M919" s="1056"/>
      <c r="N919" s="483"/>
      <c r="O919" s="786" t="s">
        <v>1569</v>
      </c>
      <c r="P919" s="786"/>
      <c r="Q919" s="786"/>
      <c r="R919" s="786"/>
      <c r="S919" s="786" t="s">
        <v>1573</v>
      </c>
      <c r="T919" s="786"/>
      <c r="U919" s="786"/>
      <c r="V919" s="789">
        <v>90</v>
      </c>
      <c r="W919" s="786"/>
      <c r="X919" s="786"/>
      <c r="Y919" s="490"/>
    </row>
    <row r="920" spans="4:25">
      <c r="D920" s="1046"/>
      <c r="E920" s="1054"/>
      <c r="F920" s="1055"/>
      <c r="G920" s="1055"/>
      <c r="H920" s="1055"/>
      <c r="I920" s="1055"/>
      <c r="J920" s="1055"/>
      <c r="K920" s="1055"/>
      <c r="L920" s="1055"/>
      <c r="M920" s="1056"/>
      <c r="N920" s="483"/>
      <c r="O920" s="786" t="s">
        <v>1091</v>
      </c>
      <c r="P920" s="786"/>
      <c r="Q920" s="786"/>
      <c r="R920" s="786"/>
      <c r="S920" s="786" t="s">
        <v>1572</v>
      </c>
      <c r="T920" s="786"/>
      <c r="U920" s="786"/>
      <c r="V920" s="789">
        <v>420</v>
      </c>
      <c r="W920" s="786"/>
      <c r="X920" s="786"/>
      <c r="Y920" s="490"/>
    </row>
    <row r="921" spans="4:25">
      <c r="D921" s="1046"/>
      <c r="E921" s="1054"/>
      <c r="F921" s="1055"/>
      <c r="G921" s="1055"/>
      <c r="H921" s="1055"/>
      <c r="I921" s="1055"/>
      <c r="J921" s="1055"/>
      <c r="K921" s="1055"/>
      <c r="L921" s="1055"/>
      <c r="M921" s="1056"/>
      <c r="N921" s="483"/>
      <c r="O921" s="786"/>
      <c r="P921" s="786"/>
      <c r="Q921" s="786"/>
      <c r="R921" s="786"/>
      <c r="S921" s="786"/>
      <c r="T921" s="786"/>
      <c r="U921" s="786"/>
      <c r="V921" s="786"/>
      <c r="W921" s="786"/>
      <c r="X921" s="786"/>
      <c r="Y921" s="490"/>
    </row>
    <row r="922" spans="4:25">
      <c r="D922" s="1047"/>
      <c r="E922" s="1030"/>
      <c r="F922" s="1031"/>
      <c r="G922" s="1031"/>
      <c r="H922" s="1031"/>
      <c r="I922" s="1031"/>
      <c r="J922" s="1031"/>
      <c r="K922" s="1031"/>
      <c r="L922" s="1031"/>
      <c r="M922" s="1032"/>
      <c r="N922" s="484"/>
      <c r="O922" s="491"/>
      <c r="P922" s="491"/>
      <c r="Q922" s="491"/>
      <c r="R922" s="491"/>
      <c r="S922" s="491"/>
      <c r="T922" s="491"/>
      <c r="U922" s="491"/>
      <c r="V922" s="491"/>
      <c r="W922" s="491"/>
      <c r="X922" s="491"/>
      <c r="Y922" s="492"/>
    </row>
    <row r="923" spans="4:25">
      <c r="D923" s="487"/>
      <c r="E923" s="1053"/>
      <c r="F923" s="1053"/>
      <c r="G923" s="1053"/>
      <c r="H923" s="1053"/>
      <c r="I923" s="1053"/>
      <c r="J923" s="1053"/>
      <c r="K923" s="1053"/>
      <c r="L923" s="1053"/>
      <c r="M923" s="1053"/>
      <c r="N923" s="1053"/>
      <c r="O923" s="1053"/>
      <c r="P923" s="1053"/>
      <c r="Q923" s="1053"/>
      <c r="R923" s="1053"/>
      <c r="S923" s="1053"/>
      <c r="T923" s="1053"/>
      <c r="U923" s="1053"/>
      <c r="V923" s="1053"/>
      <c r="W923" s="1053"/>
      <c r="X923" s="1053"/>
      <c r="Y923" s="1053"/>
    </row>
    <row r="924" spans="4:25" ht="32.25" customHeight="1">
      <c r="D924" s="530">
        <v>9</v>
      </c>
      <c r="E924" s="1057" t="s">
        <v>1080</v>
      </c>
      <c r="F924" s="1057"/>
      <c r="G924" s="1057"/>
      <c r="H924" s="1057"/>
      <c r="I924" s="1057"/>
      <c r="J924" s="1057"/>
      <c r="K924" s="1057"/>
      <c r="L924" s="1057"/>
      <c r="M924" s="1057"/>
      <c r="N924" s="1052" t="s">
        <v>1081</v>
      </c>
      <c r="O924" s="1052"/>
      <c r="P924" s="1052"/>
      <c r="Q924" s="1052"/>
      <c r="R924" s="1052"/>
      <c r="S924" s="1052"/>
      <c r="T924" s="1052"/>
      <c r="U924" s="1052"/>
      <c r="V924" s="1052"/>
      <c r="W924" s="1052"/>
      <c r="X924" s="1052"/>
      <c r="Y924" s="1052"/>
    </row>
    <row r="925" spans="4:25" ht="29.25" customHeight="1">
      <c r="D925" s="493"/>
      <c r="E925" s="822"/>
      <c r="F925" s="822"/>
      <c r="G925" s="822"/>
      <c r="H925" s="822"/>
      <c r="I925" s="822"/>
      <c r="J925" s="822"/>
      <c r="K925" s="822"/>
      <c r="L925" s="822"/>
      <c r="M925" s="822"/>
      <c r="N925" s="1052" t="s">
        <v>1581</v>
      </c>
      <c r="O925" s="1052"/>
      <c r="P925" s="1052"/>
      <c r="Q925" s="1052"/>
      <c r="R925" s="1052"/>
      <c r="S925" s="1052"/>
      <c r="T925" s="1052"/>
      <c r="U925" s="1052"/>
      <c r="V925" s="1052"/>
      <c r="W925" s="1052"/>
      <c r="X925" s="1052"/>
      <c r="Y925" s="1052"/>
    </row>
    <row r="926" spans="4:25" ht="29.25" customHeight="1">
      <c r="D926" s="493"/>
      <c r="E926" s="822"/>
      <c r="F926" s="822"/>
      <c r="G926" s="822"/>
      <c r="H926" s="822"/>
      <c r="I926" s="822"/>
      <c r="J926" s="822"/>
      <c r="K926" s="822"/>
      <c r="L926" s="822"/>
      <c r="M926" s="822"/>
      <c r="N926" s="1052" t="s">
        <v>1582</v>
      </c>
      <c r="O926" s="1052"/>
      <c r="P926" s="1052"/>
      <c r="Q926" s="1052"/>
      <c r="R926" s="1052"/>
      <c r="S926" s="1052"/>
      <c r="T926" s="1052"/>
      <c r="U926" s="1052"/>
      <c r="V926" s="1052"/>
      <c r="W926" s="1052"/>
      <c r="X926" s="1052"/>
      <c r="Y926" s="1052"/>
    </row>
    <row r="927" spans="4:25">
      <c r="D927" s="488"/>
      <c r="E927" s="1051"/>
      <c r="F927" s="1051"/>
      <c r="G927" s="1051"/>
      <c r="H927" s="1051"/>
      <c r="I927" s="1051"/>
      <c r="J927" s="1051"/>
      <c r="K927" s="1051"/>
      <c r="L927" s="1051"/>
      <c r="M927" s="1051"/>
      <c r="N927" s="1051"/>
      <c r="O927" s="1051"/>
      <c r="P927" s="1051"/>
      <c r="Q927" s="1051"/>
      <c r="R927" s="1051"/>
      <c r="S927" s="1051"/>
      <c r="T927" s="1051"/>
      <c r="U927" s="1051"/>
      <c r="V927" s="1051"/>
      <c r="W927" s="1051"/>
      <c r="X927" s="1051"/>
      <c r="Y927" s="1051"/>
    </row>
    <row r="933" spans="4:25">
      <c r="D933" s="803" t="s">
        <v>1487</v>
      </c>
      <c r="E933" s="803"/>
      <c r="F933" s="803"/>
      <c r="G933" s="803"/>
      <c r="H933" s="803"/>
      <c r="I933" s="803"/>
      <c r="J933" s="803"/>
      <c r="K933" s="803"/>
      <c r="L933" s="803"/>
      <c r="M933" s="803"/>
      <c r="N933" s="803"/>
      <c r="O933" s="803"/>
      <c r="P933" s="803"/>
      <c r="Q933" s="803"/>
      <c r="R933" s="803"/>
      <c r="S933" s="803"/>
      <c r="T933" s="803"/>
      <c r="U933" s="803"/>
      <c r="V933" s="803"/>
      <c r="W933" s="803"/>
      <c r="X933" s="803"/>
      <c r="Y933" s="803"/>
    </row>
    <row r="935" spans="4:25" ht="25.5" customHeight="1">
      <c r="D935" s="503" t="s">
        <v>881</v>
      </c>
      <c r="E935" s="995" t="s">
        <v>1064</v>
      </c>
      <c r="F935" s="995"/>
      <c r="G935" s="995"/>
      <c r="H935" s="995"/>
      <c r="I935" s="995"/>
      <c r="J935" s="995"/>
      <c r="K935" s="995"/>
      <c r="L935" s="995"/>
      <c r="M935" s="995"/>
      <c r="N935" s="995" t="s">
        <v>1061</v>
      </c>
      <c r="O935" s="995"/>
      <c r="P935" s="995"/>
      <c r="Q935" s="995"/>
      <c r="R935" s="995"/>
      <c r="S935" s="995"/>
      <c r="T935" s="995"/>
      <c r="U935" s="995"/>
      <c r="V935" s="995"/>
      <c r="W935" s="995"/>
      <c r="X935" s="995"/>
      <c r="Y935" s="995"/>
    </row>
    <row r="936" spans="4:25" ht="59.25" customHeight="1">
      <c r="D936" s="532">
        <v>1</v>
      </c>
      <c r="E936" s="779" t="s">
        <v>1063</v>
      </c>
      <c r="F936" s="779"/>
      <c r="G936" s="779"/>
      <c r="H936" s="779"/>
      <c r="I936" s="779"/>
      <c r="J936" s="779"/>
      <c r="K936" s="779"/>
      <c r="L936" s="779"/>
      <c r="M936" s="779"/>
      <c r="N936" s="779" t="s">
        <v>1583</v>
      </c>
      <c r="O936" s="779"/>
      <c r="P936" s="779"/>
      <c r="Q936" s="779"/>
      <c r="R936" s="779"/>
      <c r="S936" s="779"/>
      <c r="T936" s="779"/>
      <c r="U936" s="779"/>
      <c r="V936" s="779"/>
      <c r="W936" s="779"/>
      <c r="X936" s="779"/>
      <c r="Y936" s="779"/>
    </row>
    <row r="937" spans="4:25" ht="82.5" customHeight="1">
      <c r="D937" s="532">
        <v>2</v>
      </c>
      <c r="E937" s="779" t="s">
        <v>1065</v>
      </c>
      <c r="F937" s="779"/>
      <c r="G937" s="779"/>
      <c r="H937" s="779"/>
      <c r="I937" s="779"/>
      <c r="J937" s="779"/>
      <c r="K937" s="779"/>
      <c r="L937" s="779"/>
      <c r="M937" s="779"/>
      <c r="N937" s="800" t="s">
        <v>1584</v>
      </c>
      <c r="O937" s="800"/>
      <c r="P937" s="800"/>
      <c r="Q937" s="800"/>
      <c r="R937" s="800"/>
      <c r="S937" s="800"/>
      <c r="T937" s="800"/>
      <c r="U937" s="800"/>
      <c r="V937" s="800"/>
      <c r="W937" s="800"/>
      <c r="X937" s="800"/>
      <c r="Y937" s="800"/>
    </row>
    <row r="938" spans="4:25" ht="45.75" customHeight="1">
      <c r="D938" s="532">
        <v>3</v>
      </c>
      <c r="E938" s="800" t="s">
        <v>1067</v>
      </c>
      <c r="F938" s="800"/>
      <c r="G938" s="800"/>
      <c r="H938" s="800"/>
      <c r="I938" s="800"/>
      <c r="J938" s="800"/>
      <c r="K938" s="800"/>
      <c r="L938" s="800"/>
      <c r="M938" s="800"/>
      <c r="N938" s="800" t="s">
        <v>1585</v>
      </c>
      <c r="O938" s="800"/>
      <c r="P938" s="800"/>
      <c r="Q938" s="800"/>
      <c r="R938" s="800"/>
      <c r="S938" s="800"/>
      <c r="T938" s="800"/>
      <c r="U938" s="800"/>
      <c r="V938" s="800"/>
      <c r="W938" s="800"/>
      <c r="X938" s="800"/>
      <c r="Y938" s="800"/>
    </row>
    <row r="939" spans="4:25" ht="90.75" customHeight="1">
      <c r="D939" s="532">
        <v>4</v>
      </c>
      <c r="E939" s="779" t="s">
        <v>1068</v>
      </c>
      <c r="F939" s="779"/>
      <c r="G939" s="779"/>
      <c r="H939" s="779"/>
      <c r="I939" s="779"/>
      <c r="J939" s="779"/>
      <c r="K939" s="779"/>
      <c r="L939" s="779"/>
      <c r="M939" s="779"/>
      <c r="N939" s="807" t="s">
        <v>1069</v>
      </c>
      <c r="O939" s="807"/>
      <c r="P939" s="807"/>
      <c r="Q939" s="807"/>
      <c r="R939" s="807"/>
      <c r="S939" s="807"/>
      <c r="T939" s="807"/>
      <c r="U939" s="807"/>
      <c r="V939" s="807"/>
      <c r="W939" s="807"/>
      <c r="X939" s="807"/>
      <c r="Y939" s="807"/>
    </row>
    <row r="940" spans="4:25">
      <c r="D940" s="533">
        <v>5</v>
      </c>
      <c r="E940" s="1048" t="s">
        <v>1070</v>
      </c>
      <c r="F940" s="1048"/>
      <c r="G940" s="1048"/>
      <c r="H940" s="1048"/>
      <c r="I940" s="1048"/>
      <c r="J940" s="1048"/>
      <c r="K940" s="1048"/>
      <c r="L940" s="1048"/>
      <c r="M940" s="1048"/>
      <c r="N940" s="1048" t="s">
        <v>1562</v>
      </c>
      <c r="O940" s="1048"/>
      <c r="P940" s="1048"/>
      <c r="Q940" s="1048"/>
      <c r="R940" s="1048"/>
      <c r="S940" s="1048"/>
      <c r="T940" s="1048"/>
      <c r="U940" s="1048"/>
      <c r="V940" s="1048"/>
      <c r="W940" s="1048"/>
      <c r="X940" s="1048"/>
      <c r="Y940" s="1048"/>
    </row>
    <row r="941" spans="4:25">
      <c r="D941" s="534"/>
      <c r="E941" s="1049"/>
      <c r="F941" s="1049"/>
      <c r="G941" s="1049"/>
      <c r="H941" s="1049"/>
      <c r="I941" s="1049"/>
      <c r="J941" s="1049"/>
      <c r="K941" s="1049"/>
      <c r="L941" s="1049"/>
      <c r="M941" s="1049"/>
      <c r="N941" s="1049" t="s">
        <v>1586</v>
      </c>
      <c r="O941" s="1049"/>
      <c r="P941" s="1049"/>
      <c r="Q941" s="1049"/>
      <c r="R941" s="1049"/>
      <c r="S941" s="1049"/>
      <c r="T941" s="1049"/>
      <c r="U941" s="1049"/>
      <c r="V941" s="1049"/>
      <c r="W941" s="1049"/>
      <c r="X941" s="1049"/>
      <c r="Y941" s="1049"/>
    </row>
    <row r="942" spans="4:25" ht="23.25" customHeight="1">
      <c r="D942" s="9">
        <v>5.0999999999999996</v>
      </c>
      <c r="E942" s="788" t="s">
        <v>1073</v>
      </c>
      <c r="F942" s="788"/>
      <c r="G942" s="788"/>
      <c r="H942" s="788"/>
      <c r="I942" s="788"/>
      <c r="J942" s="788"/>
      <c r="K942" s="788"/>
      <c r="L942" s="788"/>
      <c r="M942" s="788"/>
      <c r="N942" s="788" t="s">
        <v>1614</v>
      </c>
      <c r="O942" s="788"/>
      <c r="P942" s="788"/>
      <c r="Q942" s="788"/>
      <c r="R942" s="788"/>
      <c r="S942" s="788"/>
      <c r="T942" s="788"/>
      <c r="U942" s="788"/>
      <c r="V942" s="788"/>
      <c r="W942" s="788"/>
      <c r="X942" s="788"/>
      <c r="Y942" s="788"/>
    </row>
    <row r="943" spans="4:25" ht="23.25" customHeight="1">
      <c r="D943" s="532">
        <v>6</v>
      </c>
      <c r="E943" s="806" t="s">
        <v>1074</v>
      </c>
      <c r="F943" s="806"/>
      <c r="G943" s="806"/>
      <c r="H943" s="806"/>
      <c r="I943" s="806"/>
      <c r="J943" s="806"/>
      <c r="K943" s="806"/>
      <c r="L943" s="806"/>
      <c r="M943" s="806"/>
      <c r="N943" s="806" t="s">
        <v>1615</v>
      </c>
      <c r="O943" s="806"/>
      <c r="P943" s="806"/>
      <c r="Q943" s="806"/>
      <c r="R943" s="806"/>
      <c r="S943" s="806"/>
      <c r="T943" s="806"/>
      <c r="U943" s="806"/>
      <c r="V943" s="806"/>
      <c r="W943" s="806"/>
      <c r="X943" s="806"/>
      <c r="Y943" s="806"/>
    </row>
    <row r="944" spans="4:25" ht="41.25" customHeight="1">
      <c r="D944" s="532">
        <v>7</v>
      </c>
      <c r="E944" s="807" t="s">
        <v>1075</v>
      </c>
      <c r="F944" s="807"/>
      <c r="G944" s="807"/>
      <c r="H944" s="807"/>
      <c r="I944" s="807"/>
      <c r="J944" s="807"/>
      <c r="K944" s="807"/>
      <c r="L944" s="807"/>
      <c r="M944" s="807"/>
      <c r="N944" s="806" t="s">
        <v>1587</v>
      </c>
      <c r="O944" s="806"/>
      <c r="P944" s="806"/>
      <c r="Q944" s="806"/>
      <c r="R944" s="806"/>
      <c r="S944" s="806"/>
      <c r="T944" s="806"/>
      <c r="U944" s="806"/>
      <c r="V944" s="806"/>
      <c r="W944" s="806"/>
      <c r="X944" s="806"/>
      <c r="Y944" s="806"/>
    </row>
    <row r="945" spans="4:25" ht="17.25" customHeight="1">
      <c r="D945" s="1045">
        <v>8</v>
      </c>
      <c r="E945" s="1033" t="s">
        <v>1076</v>
      </c>
      <c r="F945" s="1034"/>
      <c r="G945" s="1034"/>
      <c r="H945" s="1034"/>
      <c r="I945" s="1034"/>
      <c r="J945" s="1034"/>
      <c r="K945" s="1034"/>
      <c r="L945" s="1034"/>
      <c r="M945" s="1035"/>
      <c r="N945" s="482"/>
      <c r="O945" s="468"/>
      <c r="P945" s="468"/>
      <c r="Q945" s="468"/>
      <c r="R945" s="468"/>
      <c r="S945" s="468"/>
      <c r="T945" s="468"/>
      <c r="U945" s="468"/>
      <c r="V945" s="468"/>
      <c r="W945" s="468"/>
      <c r="X945" s="468"/>
      <c r="Y945" s="489"/>
    </row>
    <row r="946" spans="4:25">
      <c r="D946" s="1046"/>
      <c r="E946" s="1054"/>
      <c r="F946" s="1055"/>
      <c r="G946" s="1055"/>
      <c r="H946" s="1055"/>
      <c r="I946" s="1055"/>
      <c r="J946" s="1055"/>
      <c r="K946" s="1055"/>
      <c r="L946" s="1055"/>
      <c r="M946" s="1056"/>
      <c r="N946" s="483"/>
      <c r="O946" s="786" t="s">
        <v>1077</v>
      </c>
      <c r="P946" s="786"/>
      <c r="Q946" s="786"/>
      <c r="R946" s="786"/>
      <c r="S946" s="786" t="s">
        <v>1078</v>
      </c>
      <c r="T946" s="786"/>
      <c r="U946" s="786"/>
      <c r="V946" s="786" t="s">
        <v>1079</v>
      </c>
      <c r="W946" s="786"/>
      <c r="X946" s="786"/>
      <c r="Y946" s="490"/>
    </row>
    <row r="947" spans="4:25">
      <c r="D947" s="1046"/>
      <c r="E947" s="1054"/>
      <c r="F947" s="1055"/>
      <c r="G947" s="1055"/>
      <c r="H947" s="1055"/>
      <c r="I947" s="1055"/>
      <c r="J947" s="1055"/>
      <c r="K947" s="1055"/>
      <c r="L947" s="1055"/>
      <c r="M947" s="1056"/>
      <c r="N947" s="483"/>
      <c r="O947" s="786" t="s">
        <v>1091</v>
      </c>
      <c r="P947" s="786"/>
      <c r="Q947" s="786"/>
      <c r="R947" s="786"/>
      <c r="S947" s="786" t="s">
        <v>1572</v>
      </c>
      <c r="T947" s="786"/>
      <c r="U947" s="786"/>
      <c r="V947" s="789">
        <v>88</v>
      </c>
      <c r="W947" s="786"/>
      <c r="X947" s="786"/>
      <c r="Y947" s="490"/>
    </row>
    <row r="948" spans="4:25">
      <c r="D948" s="1046"/>
      <c r="E948" s="1054"/>
      <c r="F948" s="1055"/>
      <c r="G948" s="1055"/>
      <c r="H948" s="1055"/>
      <c r="I948" s="1055"/>
      <c r="J948" s="1055"/>
      <c r="K948" s="1055"/>
      <c r="L948" s="1055"/>
      <c r="M948" s="1056"/>
      <c r="N948" s="483"/>
      <c r="O948" s="786" t="s">
        <v>1088</v>
      </c>
      <c r="P948" s="786"/>
      <c r="Q948" s="786"/>
      <c r="R948" s="786"/>
      <c r="S948" s="786" t="s">
        <v>1572</v>
      </c>
      <c r="T948" s="786"/>
      <c r="U948" s="786"/>
      <c r="V948" s="789">
        <v>55</v>
      </c>
      <c r="W948" s="786"/>
      <c r="X948" s="786"/>
      <c r="Y948" s="490"/>
    </row>
    <row r="949" spans="4:25">
      <c r="D949" s="1046"/>
      <c r="E949" s="1054"/>
      <c r="F949" s="1055"/>
      <c r="G949" s="1055"/>
      <c r="H949" s="1055"/>
      <c r="I949" s="1055"/>
      <c r="J949" s="1055"/>
      <c r="K949" s="1055"/>
      <c r="L949" s="1055"/>
      <c r="M949" s="1056"/>
      <c r="N949" s="483"/>
      <c r="O949" s="786" t="s">
        <v>1089</v>
      </c>
      <c r="P949" s="786"/>
      <c r="Q949" s="786"/>
      <c r="R949" s="786"/>
      <c r="S949" s="786" t="s">
        <v>1572</v>
      </c>
      <c r="T949" s="786"/>
      <c r="U949" s="786"/>
      <c r="V949" s="789">
        <v>4</v>
      </c>
      <c r="W949" s="786"/>
      <c r="X949" s="786"/>
      <c r="Y949" s="490"/>
    </row>
    <row r="950" spans="4:25">
      <c r="D950" s="1046"/>
      <c r="E950" s="1054"/>
      <c r="F950" s="1055"/>
      <c r="G950" s="1055"/>
      <c r="H950" s="1055"/>
      <c r="I950" s="1055"/>
      <c r="J950" s="1055"/>
      <c r="K950" s="1055"/>
      <c r="L950" s="1055"/>
      <c r="M950" s="1056"/>
      <c r="N950" s="483"/>
      <c r="O950" s="786" t="s">
        <v>1090</v>
      </c>
      <c r="P950" s="786"/>
      <c r="Q950" s="786"/>
      <c r="R950" s="786"/>
      <c r="S950" s="786" t="s">
        <v>1572</v>
      </c>
      <c r="T950" s="786"/>
      <c r="U950" s="786"/>
      <c r="V950" s="789">
        <v>4</v>
      </c>
      <c r="W950" s="786"/>
      <c r="X950" s="786"/>
      <c r="Y950" s="490"/>
    </row>
    <row r="951" spans="4:25">
      <c r="D951" s="1046"/>
      <c r="E951" s="1054"/>
      <c r="F951" s="1055"/>
      <c r="G951" s="1055"/>
      <c r="H951" s="1055"/>
      <c r="I951" s="1055"/>
      <c r="J951" s="1055"/>
      <c r="K951" s="1055"/>
      <c r="L951" s="1055"/>
      <c r="M951" s="1056"/>
      <c r="N951" s="483"/>
      <c r="O951" s="786" t="s">
        <v>1569</v>
      </c>
      <c r="P951" s="786"/>
      <c r="Q951" s="786"/>
      <c r="R951" s="786"/>
      <c r="S951" s="786" t="s">
        <v>1573</v>
      </c>
      <c r="T951" s="786"/>
      <c r="U951" s="786"/>
      <c r="V951" s="789">
        <v>2</v>
      </c>
      <c r="W951" s="786"/>
      <c r="X951" s="786"/>
      <c r="Y951" s="490"/>
    </row>
    <row r="952" spans="4:25">
      <c r="D952" s="1047"/>
      <c r="E952" s="1030"/>
      <c r="F952" s="1031"/>
      <c r="G952" s="1031"/>
      <c r="H952" s="1031"/>
      <c r="I952" s="1031"/>
      <c r="J952" s="1031"/>
      <c r="K952" s="1031"/>
      <c r="L952" s="1031"/>
      <c r="M952" s="1032"/>
      <c r="N952" s="484"/>
      <c r="O952" s="491"/>
      <c r="P952" s="491"/>
      <c r="Q952" s="491"/>
      <c r="R952" s="491"/>
      <c r="S952" s="491"/>
      <c r="T952" s="491"/>
      <c r="U952" s="491"/>
      <c r="V952" s="491"/>
      <c r="W952" s="491"/>
      <c r="X952" s="491"/>
      <c r="Y952" s="492"/>
    </row>
    <row r="953" spans="4:25">
      <c r="D953" s="487"/>
      <c r="E953" s="1053"/>
      <c r="F953" s="1053"/>
      <c r="G953" s="1053"/>
      <c r="H953" s="1053"/>
      <c r="I953" s="1053"/>
      <c r="J953" s="1053"/>
      <c r="K953" s="1053"/>
      <c r="L953" s="1053"/>
      <c r="M953" s="1053"/>
      <c r="N953" s="1053"/>
      <c r="O953" s="1053"/>
      <c r="P953" s="1053"/>
      <c r="Q953" s="1053"/>
      <c r="R953" s="1053"/>
      <c r="S953" s="1053"/>
      <c r="T953" s="1053"/>
      <c r="U953" s="1053"/>
      <c r="V953" s="1053"/>
      <c r="W953" s="1053"/>
      <c r="X953" s="1053"/>
      <c r="Y953" s="1053"/>
    </row>
    <row r="954" spans="4:25" ht="32.25" customHeight="1">
      <c r="D954" s="535">
        <v>9</v>
      </c>
      <c r="E954" s="1057" t="s">
        <v>1080</v>
      </c>
      <c r="F954" s="1057"/>
      <c r="G954" s="1057"/>
      <c r="H954" s="1057"/>
      <c r="I954" s="1057"/>
      <c r="J954" s="1057"/>
      <c r="K954" s="1057"/>
      <c r="L954" s="1057"/>
      <c r="M954" s="1057"/>
      <c r="N954" s="1052" t="s">
        <v>1081</v>
      </c>
      <c r="O954" s="1052"/>
      <c r="P954" s="1052"/>
      <c r="Q954" s="1052"/>
      <c r="R954" s="1052"/>
      <c r="S954" s="1052"/>
      <c r="T954" s="1052"/>
      <c r="U954" s="1052"/>
      <c r="V954" s="1052"/>
      <c r="W954" s="1052"/>
      <c r="X954" s="1052"/>
      <c r="Y954" s="1052"/>
    </row>
    <row r="955" spans="4:25" ht="29.25" customHeight="1">
      <c r="D955" s="493"/>
      <c r="E955" s="822"/>
      <c r="F955" s="822"/>
      <c r="G955" s="822"/>
      <c r="H955" s="822"/>
      <c r="I955" s="822"/>
      <c r="J955" s="822"/>
      <c r="K955" s="822"/>
      <c r="L955" s="822"/>
      <c r="M955" s="822"/>
      <c r="N955" s="1052" t="s">
        <v>1588</v>
      </c>
      <c r="O955" s="1052"/>
      <c r="P955" s="1052"/>
      <c r="Q955" s="1052"/>
      <c r="R955" s="1052"/>
      <c r="S955" s="1052"/>
      <c r="T955" s="1052"/>
      <c r="U955" s="1052"/>
      <c r="V955" s="1052"/>
      <c r="W955" s="1052"/>
      <c r="X955" s="1052"/>
      <c r="Y955" s="1052"/>
    </row>
    <row r="956" spans="4:25" ht="29.25" customHeight="1">
      <c r="D956" s="493"/>
      <c r="E956" s="822"/>
      <c r="F956" s="822"/>
      <c r="G956" s="822"/>
      <c r="H956" s="822"/>
      <c r="I956" s="822"/>
      <c r="J956" s="822"/>
      <c r="K956" s="822"/>
      <c r="L956" s="822"/>
      <c r="M956" s="822"/>
      <c r="N956" s="1052" t="s">
        <v>1589</v>
      </c>
      <c r="O956" s="1052"/>
      <c r="P956" s="1052"/>
      <c r="Q956" s="1052"/>
      <c r="R956" s="1052"/>
      <c r="S956" s="1052"/>
      <c r="T956" s="1052"/>
      <c r="U956" s="1052"/>
      <c r="V956" s="1052"/>
      <c r="W956" s="1052"/>
      <c r="X956" s="1052"/>
      <c r="Y956" s="1052"/>
    </row>
    <row r="957" spans="4:25">
      <c r="D957" s="488"/>
      <c r="E957" s="1051"/>
      <c r="F957" s="1051"/>
      <c r="G957" s="1051"/>
      <c r="H957" s="1051"/>
      <c r="I957" s="1051"/>
      <c r="J957" s="1051"/>
      <c r="K957" s="1051"/>
      <c r="L957" s="1051"/>
      <c r="M957" s="1051"/>
      <c r="N957" s="1051"/>
      <c r="O957" s="1051"/>
      <c r="P957" s="1051"/>
      <c r="Q957" s="1051"/>
      <c r="R957" s="1051"/>
      <c r="S957" s="1051"/>
      <c r="T957" s="1051"/>
      <c r="U957" s="1051"/>
      <c r="V957" s="1051"/>
      <c r="W957" s="1051"/>
      <c r="X957" s="1051"/>
      <c r="Y957" s="1051"/>
    </row>
    <row r="962" spans="4:25">
      <c r="D962" s="803" t="s">
        <v>1488</v>
      </c>
      <c r="E962" s="803"/>
      <c r="F962" s="803"/>
      <c r="G962" s="803"/>
      <c r="H962" s="803"/>
      <c r="I962" s="803"/>
      <c r="J962" s="803"/>
      <c r="K962" s="803"/>
      <c r="L962" s="803"/>
      <c r="M962" s="803"/>
      <c r="N962" s="803"/>
      <c r="O962" s="803"/>
      <c r="P962" s="803"/>
      <c r="Q962" s="803"/>
      <c r="R962" s="803"/>
      <c r="S962" s="803"/>
      <c r="T962" s="803"/>
      <c r="U962" s="803"/>
      <c r="V962" s="803"/>
      <c r="W962" s="803"/>
      <c r="X962" s="803"/>
      <c r="Y962" s="803"/>
    </row>
    <row r="964" spans="4:25" ht="28.5" customHeight="1">
      <c r="D964" s="503" t="s">
        <v>881</v>
      </c>
      <c r="E964" s="995" t="s">
        <v>1064</v>
      </c>
      <c r="F964" s="995"/>
      <c r="G964" s="995"/>
      <c r="H964" s="995"/>
      <c r="I964" s="995"/>
      <c r="J964" s="995"/>
      <c r="K964" s="995"/>
      <c r="L964" s="995"/>
      <c r="M964" s="995"/>
      <c r="N964" s="995" t="s">
        <v>1061</v>
      </c>
      <c r="O964" s="995"/>
      <c r="P964" s="995"/>
      <c r="Q964" s="995"/>
      <c r="R964" s="995"/>
      <c r="S964" s="995"/>
      <c r="T964" s="995"/>
      <c r="U964" s="995"/>
      <c r="V964" s="995"/>
      <c r="W964" s="995"/>
      <c r="X964" s="995"/>
      <c r="Y964" s="995"/>
    </row>
    <row r="965" spans="4:25" ht="66.75" customHeight="1">
      <c r="D965" s="532">
        <v>1</v>
      </c>
      <c r="E965" s="779" t="s">
        <v>1063</v>
      </c>
      <c r="F965" s="779"/>
      <c r="G965" s="779"/>
      <c r="H965" s="779"/>
      <c r="I965" s="779"/>
      <c r="J965" s="779"/>
      <c r="K965" s="779"/>
      <c r="L965" s="779"/>
      <c r="M965" s="779"/>
      <c r="N965" s="779" t="s">
        <v>1590</v>
      </c>
      <c r="O965" s="779"/>
      <c r="P965" s="779"/>
      <c r="Q965" s="779"/>
      <c r="R965" s="779"/>
      <c r="S965" s="779"/>
      <c r="T965" s="779"/>
      <c r="U965" s="779"/>
      <c r="V965" s="779"/>
      <c r="W965" s="779"/>
      <c r="X965" s="779"/>
      <c r="Y965" s="779"/>
    </row>
    <row r="966" spans="4:25" ht="82.5" customHeight="1">
      <c r="D966" s="532">
        <v>2</v>
      </c>
      <c r="E966" s="779" t="s">
        <v>1065</v>
      </c>
      <c r="F966" s="779"/>
      <c r="G966" s="779"/>
      <c r="H966" s="779"/>
      <c r="I966" s="779"/>
      <c r="J966" s="779"/>
      <c r="K966" s="779"/>
      <c r="L966" s="779"/>
      <c r="M966" s="779"/>
      <c r="N966" s="800" t="s">
        <v>1578</v>
      </c>
      <c r="O966" s="779"/>
      <c r="P966" s="779"/>
      <c r="Q966" s="779"/>
      <c r="R966" s="779"/>
      <c r="S966" s="779"/>
      <c r="T966" s="779"/>
      <c r="U966" s="779"/>
      <c r="V966" s="779"/>
      <c r="W966" s="779"/>
      <c r="X966" s="779"/>
      <c r="Y966" s="779"/>
    </row>
    <row r="967" spans="4:25" ht="45.75" customHeight="1">
      <c r="D967" s="532">
        <v>3</v>
      </c>
      <c r="E967" s="800" t="s">
        <v>1067</v>
      </c>
      <c r="F967" s="800"/>
      <c r="G967" s="800"/>
      <c r="H967" s="800"/>
      <c r="I967" s="800"/>
      <c r="J967" s="800"/>
      <c r="K967" s="800"/>
      <c r="L967" s="800"/>
      <c r="M967" s="800"/>
      <c r="N967" s="788"/>
      <c r="O967" s="788"/>
      <c r="P967" s="788"/>
      <c r="Q967" s="788"/>
      <c r="R967" s="788"/>
      <c r="S967" s="788"/>
      <c r="T967" s="788"/>
      <c r="U967" s="788"/>
      <c r="V967" s="788"/>
      <c r="W967" s="788"/>
      <c r="X967" s="788"/>
      <c r="Y967" s="788"/>
    </row>
    <row r="968" spans="4:25" ht="90.75" customHeight="1">
      <c r="D968" s="532">
        <v>4</v>
      </c>
      <c r="E968" s="779" t="s">
        <v>1068</v>
      </c>
      <c r="F968" s="779"/>
      <c r="G968" s="779"/>
      <c r="H968" s="779"/>
      <c r="I968" s="779"/>
      <c r="J968" s="779"/>
      <c r="K968" s="779"/>
      <c r="L968" s="779"/>
      <c r="M968" s="779"/>
      <c r="N968" s="807" t="s">
        <v>1069</v>
      </c>
      <c r="O968" s="807"/>
      <c r="P968" s="807"/>
      <c r="Q968" s="807"/>
      <c r="R968" s="807"/>
      <c r="S968" s="807"/>
      <c r="T968" s="807"/>
      <c r="U968" s="807"/>
      <c r="V968" s="807"/>
      <c r="W968" s="807"/>
      <c r="X968" s="807"/>
      <c r="Y968" s="807"/>
    </row>
    <row r="969" spans="4:25">
      <c r="D969" s="536">
        <v>5</v>
      </c>
      <c r="E969" s="1048" t="s">
        <v>1070</v>
      </c>
      <c r="F969" s="1048"/>
      <c r="G969" s="1048"/>
      <c r="H969" s="1048"/>
      <c r="I969" s="1048"/>
      <c r="J969" s="1048"/>
      <c r="K969" s="1048"/>
      <c r="L969" s="1048"/>
      <c r="M969" s="1048"/>
      <c r="N969" s="1048" t="s">
        <v>1071</v>
      </c>
      <c r="O969" s="1048"/>
      <c r="P969" s="1048"/>
      <c r="Q969" s="1048"/>
      <c r="R969" s="1048"/>
      <c r="S969" s="1048"/>
      <c r="T969" s="1048"/>
      <c r="U969" s="1048"/>
      <c r="V969" s="1048"/>
      <c r="W969" s="1048"/>
      <c r="X969" s="1048"/>
      <c r="Y969" s="1048"/>
    </row>
    <row r="970" spans="4:25">
      <c r="D970" s="537"/>
      <c r="E970" s="1049"/>
      <c r="F970" s="1049"/>
      <c r="G970" s="1049"/>
      <c r="H970" s="1049"/>
      <c r="I970" s="1049"/>
      <c r="J970" s="1049"/>
      <c r="K970" s="1049"/>
      <c r="L970" s="1049"/>
      <c r="M970" s="1049"/>
      <c r="N970" s="1049" t="s">
        <v>1072</v>
      </c>
      <c r="O970" s="1049"/>
      <c r="P970" s="1049"/>
      <c r="Q970" s="1049"/>
      <c r="R970" s="1049"/>
      <c r="S970" s="1049"/>
      <c r="T970" s="1049"/>
      <c r="U970" s="1049"/>
      <c r="V970" s="1049"/>
      <c r="W970" s="1049"/>
      <c r="X970" s="1049"/>
      <c r="Y970" s="1049"/>
    </row>
    <row r="971" spans="4:25">
      <c r="D971" s="9">
        <v>5.0999999999999996</v>
      </c>
      <c r="E971" s="788" t="s">
        <v>1073</v>
      </c>
      <c r="F971" s="788"/>
      <c r="G971" s="788"/>
      <c r="H971" s="788"/>
      <c r="I971" s="788"/>
      <c r="J971" s="788"/>
      <c r="K971" s="788"/>
      <c r="L971" s="788"/>
      <c r="M971" s="788"/>
      <c r="N971" s="788"/>
      <c r="O971" s="788"/>
      <c r="P971" s="788"/>
      <c r="Q971" s="788"/>
      <c r="R971" s="788"/>
      <c r="S971" s="788"/>
      <c r="T971" s="788"/>
      <c r="U971" s="788"/>
      <c r="V971" s="788"/>
      <c r="W971" s="788"/>
      <c r="X971" s="788"/>
      <c r="Y971" s="788"/>
    </row>
    <row r="972" spans="4:25">
      <c r="D972" s="213">
        <v>6</v>
      </c>
      <c r="E972" s="788" t="s">
        <v>1074</v>
      </c>
      <c r="F972" s="788"/>
      <c r="G972" s="788"/>
      <c r="H972" s="788"/>
      <c r="I972" s="788"/>
      <c r="J972" s="788"/>
      <c r="K972" s="788"/>
      <c r="L972" s="788"/>
      <c r="M972" s="788"/>
      <c r="N972" s="788"/>
      <c r="O972" s="788"/>
      <c r="P972" s="788"/>
      <c r="Q972" s="788"/>
      <c r="R972" s="788"/>
      <c r="S972" s="788"/>
      <c r="T972" s="788"/>
      <c r="U972" s="788"/>
      <c r="V972" s="788"/>
      <c r="W972" s="788"/>
      <c r="X972" s="788"/>
      <c r="Y972" s="788"/>
    </row>
    <row r="973" spans="4:25" ht="41.25" customHeight="1">
      <c r="D973" s="532">
        <v>7</v>
      </c>
      <c r="E973" s="807" t="s">
        <v>1075</v>
      </c>
      <c r="F973" s="807"/>
      <c r="G973" s="807"/>
      <c r="H973" s="807"/>
      <c r="I973" s="807"/>
      <c r="J973" s="807"/>
      <c r="K973" s="807"/>
      <c r="L973" s="807"/>
      <c r="M973" s="807"/>
      <c r="N973" s="788" t="s">
        <v>1591</v>
      </c>
      <c r="O973" s="788"/>
      <c r="P973" s="788"/>
      <c r="Q973" s="788"/>
      <c r="R973" s="788"/>
      <c r="S973" s="788"/>
      <c r="T973" s="788"/>
      <c r="U973" s="788"/>
      <c r="V973" s="788"/>
      <c r="W973" s="788"/>
      <c r="X973" s="788"/>
      <c r="Y973" s="788"/>
    </row>
    <row r="974" spans="4:25" ht="17.25" customHeight="1">
      <c r="D974" s="1045">
        <v>8</v>
      </c>
      <c r="E974" s="1033" t="s">
        <v>1076</v>
      </c>
      <c r="F974" s="1034"/>
      <c r="G974" s="1034"/>
      <c r="H974" s="1034"/>
      <c r="I974" s="1034"/>
      <c r="J974" s="1034"/>
      <c r="K974" s="1034"/>
      <c r="L974" s="1034"/>
      <c r="M974" s="1035"/>
      <c r="N974" s="482"/>
      <c r="O974" s="468"/>
      <c r="P974" s="468"/>
      <c r="Q974" s="468"/>
      <c r="R974" s="468"/>
      <c r="S974" s="468"/>
      <c r="T974" s="468"/>
      <c r="U974" s="468"/>
      <c r="V974" s="468"/>
      <c r="W974" s="468"/>
      <c r="X974" s="468"/>
      <c r="Y974" s="489"/>
    </row>
    <row r="975" spans="4:25">
      <c r="D975" s="1046"/>
      <c r="E975" s="1054"/>
      <c r="F975" s="1055"/>
      <c r="G975" s="1055"/>
      <c r="H975" s="1055"/>
      <c r="I975" s="1055"/>
      <c r="J975" s="1055"/>
      <c r="K975" s="1055"/>
      <c r="L975" s="1055"/>
      <c r="M975" s="1056"/>
      <c r="N975" s="483"/>
      <c r="O975" s="786" t="s">
        <v>1077</v>
      </c>
      <c r="P975" s="786"/>
      <c r="Q975" s="786"/>
      <c r="R975" s="786"/>
      <c r="S975" s="786" t="s">
        <v>1078</v>
      </c>
      <c r="T975" s="786"/>
      <c r="U975" s="786"/>
      <c r="V975" s="786" t="s">
        <v>1079</v>
      </c>
      <c r="W975" s="786"/>
      <c r="X975" s="786"/>
      <c r="Y975" s="490"/>
    </row>
    <row r="976" spans="4:25">
      <c r="D976" s="1046"/>
      <c r="E976" s="1054"/>
      <c r="F976" s="1055"/>
      <c r="G976" s="1055"/>
      <c r="H976" s="1055"/>
      <c r="I976" s="1055"/>
      <c r="J976" s="1055"/>
      <c r="K976" s="1055"/>
      <c r="L976" s="1055"/>
      <c r="M976" s="1056"/>
      <c r="N976" s="483"/>
      <c r="O976" s="786" t="s">
        <v>1592</v>
      </c>
      <c r="P976" s="786"/>
      <c r="Q976" s="786"/>
      <c r="R976" s="786"/>
      <c r="S976" s="786" t="s">
        <v>1573</v>
      </c>
      <c r="T976" s="786"/>
      <c r="U976" s="786"/>
      <c r="V976" s="789">
        <v>9</v>
      </c>
      <c r="W976" s="786"/>
      <c r="X976" s="786"/>
      <c r="Y976" s="490"/>
    </row>
    <row r="977" spans="4:25">
      <c r="D977" s="1046"/>
      <c r="E977" s="1054"/>
      <c r="F977" s="1055"/>
      <c r="G977" s="1055"/>
      <c r="H977" s="1055"/>
      <c r="I977" s="1055"/>
      <c r="J977" s="1055"/>
      <c r="K977" s="1055"/>
      <c r="L977" s="1055"/>
      <c r="M977" s="1056"/>
      <c r="N977" s="483"/>
      <c r="O977" s="786" t="s">
        <v>1088</v>
      </c>
      <c r="P977" s="786"/>
      <c r="Q977" s="786"/>
      <c r="R977" s="786"/>
      <c r="S977" s="786" t="s">
        <v>1573</v>
      </c>
      <c r="T977" s="786"/>
      <c r="U977" s="786"/>
      <c r="V977" s="789">
        <v>60</v>
      </c>
      <c r="W977" s="786"/>
      <c r="X977" s="786"/>
      <c r="Y977" s="490"/>
    </row>
    <row r="978" spans="4:25">
      <c r="D978" s="1046"/>
      <c r="E978" s="1054"/>
      <c r="F978" s="1055"/>
      <c r="G978" s="1055"/>
      <c r="H978" s="1055"/>
      <c r="I978" s="1055"/>
      <c r="J978" s="1055"/>
      <c r="K978" s="1055"/>
      <c r="L978" s="1055"/>
      <c r="M978" s="1056"/>
      <c r="N978" s="483"/>
      <c r="O978" s="786" t="s">
        <v>1089</v>
      </c>
      <c r="P978" s="786"/>
      <c r="Q978" s="786"/>
      <c r="R978" s="786"/>
      <c r="S978" s="786" t="s">
        <v>1573</v>
      </c>
      <c r="T978" s="786"/>
      <c r="U978" s="786"/>
      <c r="V978" s="789">
        <v>35</v>
      </c>
      <c r="W978" s="786"/>
      <c r="X978" s="786"/>
      <c r="Y978" s="490"/>
    </row>
    <row r="979" spans="4:25">
      <c r="D979" s="1046"/>
      <c r="E979" s="1054"/>
      <c r="F979" s="1055"/>
      <c r="G979" s="1055"/>
      <c r="H979" s="1055"/>
      <c r="I979" s="1055"/>
      <c r="J979" s="1055"/>
      <c r="K979" s="1055"/>
      <c r="L979" s="1055"/>
      <c r="M979" s="1056"/>
      <c r="N979" s="483"/>
      <c r="O979" s="786" t="s">
        <v>1090</v>
      </c>
      <c r="P979" s="786"/>
      <c r="Q979" s="786"/>
      <c r="R979" s="786"/>
      <c r="S979" s="786" t="s">
        <v>1573</v>
      </c>
      <c r="T979" s="786"/>
      <c r="U979" s="786"/>
      <c r="V979" s="789">
        <v>30</v>
      </c>
      <c r="W979" s="786"/>
      <c r="X979" s="786"/>
      <c r="Y979" s="490"/>
    </row>
    <row r="980" spans="4:25">
      <c r="D980" s="1046"/>
      <c r="E980" s="1054"/>
      <c r="F980" s="1055"/>
      <c r="G980" s="1055"/>
      <c r="H980" s="1055"/>
      <c r="I980" s="1055"/>
      <c r="J980" s="1055"/>
      <c r="K980" s="1055"/>
      <c r="L980" s="1055"/>
      <c r="M980" s="1056"/>
      <c r="N980" s="483"/>
      <c r="O980" s="786" t="s">
        <v>1569</v>
      </c>
      <c r="P980" s="786"/>
      <c r="Q980" s="786"/>
      <c r="R980" s="786"/>
      <c r="S980" s="786" t="s">
        <v>1573</v>
      </c>
      <c r="T980" s="786"/>
      <c r="U980" s="786"/>
      <c r="V980" s="789">
        <v>40</v>
      </c>
      <c r="W980" s="786"/>
      <c r="X980" s="786"/>
      <c r="Y980" s="490"/>
    </row>
    <row r="981" spans="4:25">
      <c r="D981" s="1046"/>
      <c r="E981" s="1054"/>
      <c r="F981" s="1055"/>
      <c r="G981" s="1055"/>
      <c r="H981" s="1055"/>
      <c r="I981" s="1055"/>
      <c r="J981" s="1055"/>
      <c r="K981" s="1055"/>
      <c r="L981" s="1055"/>
      <c r="M981" s="1056"/>
      <c r="N981" s="483"/>
      <c r="O981" s="786" t="s">
        <v>1091</v>
      </c>
      <c r="P981" s="786"/>
      <c r="Q981" s="786"/>
      <c r="R981" s="786"/>
      <c r="S981" s="786" t="s">
        <v>1601</v>
      </c>
      <c r="T981" s="786"/>
      <c r="U981" s="786"/>
      <c r="V981" s="789">
        <v>80</v>
      </c>
      <c r="W981" s="786"/>
      <c r="X981" s="786"/>
      <c r="Y981" s="490"/>
    </row>
    <row r="982" spans="4:25">
      <c r="D982" s="1047"/>
      <c r="E982" s="1030"/>
      <c r="F982" s="1031"/>
      <c r="G982" s="1031"/>
      <c r="H982" s="1031"/>
      <c r="I982" s="1031"/>
      <c r="J982" s="1031"/>
      <c r="K982" s="1031"/>
      <c r="L982" s="1031"/>
      <c r="M982" s="1032"/>
      <c r="N982" s="484"/>
      <c r="O982" s="491"/>
      <c r="P982" s="491"/>
      <c r="Q982" s="491"/>
      <c r="R982" s="491"/>
      <c r="S982" s="491"/>
      <c r="T982" s="491"/>
      <c r="U982" s="491"/>
      <c r="V982" s="491"/>
      <c r="W982" s="491"/>
      <c r="X982" s="491"/>
      <c r="Y982" s="492"/>
    </row>
    <row r="983" spans="4:25">
      <c r="D983" s="533"/>
      <c r="E983" s="1053"/>
      <c r="F983" s="1053"/>
      <c r="G983" s="1053"/>
      <c r="H983" s="1053"/>
      <c r="I983" s="1053"/>
      <c r="J983" s="1053"/>
      <c r="K983" s="1053"/>
      <c r="L983" s="1053"/>
      <c r="M983" s="1053"/>
      <c r="N983" s="1053"/>
      <c r="O983" s="1053"/>
      <c r="P983" s="1053"/>
      <c r="Q983" s="1053"/>
      <c r="R983" s="1053"/>
      <c r="S983" s="1053"/>
      <c r="T983" s="1053"/>
      <c r="U983" s="1053"/>
      <c r="V983" s="1053"/>
      <c r="W983" s="1053"/>
      <c r="X983" s="1053"/>
      <c r="Y983" s="1053"/>
    </row>
    <row r="984" spans="4:25" ht="32.25" customHeight="1">
      <c r="D984" s="535">
        <v>9</v>
      </c>
      <c r="E984" s="1057" t="s">
        <v>1080</v>
      </c>
      <c r="F984" s="1057"/>
      <c r="G984" s="1057"/>
      <c r="H984" s="1057"/>
      <c r="I984" s="1057"/>
      <c r="J984" s="1057"/>
      <c r="K984" s="1057"/>
      <c r="L984" s="1057"/>
      <c r="M984" s="1057"/>
      <c r="N984" s="1052" t="s">
        <v>1081</v>
      </c>
      <c r="O984" s="1052"/>
      <c r="P984" s="1052"/>
      <c r="Q984" s="1052"/>
      <c r="R984" s="1052"/>
      <c r="S984" s="1052"/>
      <c r="T984" s="1052"/>
      <c r="U984" s="1052"/>
      <c r="V984" s="1052"/>
      <c r="W984" s="1052"/>
      <c r="X984" s="1052"/>
      <c r="Y984" s="1052"/>
    </row>
    <row r="985" spans="4:25" ht="29.25" customHeight="1">
      <c r="D985" s="531"/>
      <c r="E985" s="822"/>
      <c r="F985" s="822"/>
      <c r="G985" s="822"/>
      <c r="H985" s="822"/>
      <c r="I985" s="822"/>
      <c r="J985" s="822"/>
      <c r="K985" s="822"/>
      <c r="L985" s="822"/>
      <c r="M985" s="822"/>
      <c r="N985" s="1052" t="s">
        <v>1593</v>
      </c>
      <c r="O985" s="1052"/>
      <c r="P985" s="1052"/>
      <c r="Q985" s="1052"/>
      <c r="R985" s="1052"/>
      <c r="S985" s="1052"/>
      <c r="T985" s="1052"/>
      <c r="U985" s="1052"/>
      <c r="V985" s="1052"/>
      <c r="W985" s="1052"/>
      <c r="X985" s="1052"/>
      <c r="Y985" s="1052"/>
    </row>
    <row r="986" spans="4:25" ht="29.25" customHeight="1">
      <c r="D986" s="531"/>
      <c r="E986" s="822"/>
      <c r="F986" s="822"/>
      <c r="G986" s="822"/>
      <c r="H986" s="822"/>
      <c r="I986" s="822"/>
      <c r="J986" s="822"/>
      <c r="K986" s="822"/>
      <c r="L986" s="822"/>
      <c r="M986" s="822"/>
      <c r="N986" s="1052" t="s">
        <v>1594</v>
      </c>
      <c r="O986" s="1052"/>
      <c r="P986" s="1052"/>
      <c r="Q986" s="1052"/>
      <c r="R986" s="1052"/>
      <c r="S986" s="1052"/>
      <c r="T986" s="1052"/>
      <c r="U986" s="1052"/>
      <c r="V986" s="1052"/>
      <c r="W986" s="1052"/>
      <c r="X986" s="1052"/>
      <c r="Y986" s="1052"/>
    </row>
    <row r="987" spans="4:25">
      <c r="D987" s="534"/>
      <c r="E987" s="1051"/>
      <c r="F987" s="1051"/>
      <c r="G987" s="1051"/>
      <c r="H987" s="1051"/>
      <c r="I987" s="1051"/>
      <c r="J987" s="1051"/>
      <c r="K987" s="1051"/>
      <c r="L987" s="1051"/>
      <c r="M987" s="1051"/>
      <c r="N987" s="1051"/>
      <c r="O987" s="1051"/>
      <c r="P987" s="1051"/>
      <c r="Q987" s="1051"/>
      <c r="R987" s="1051"/>
      <c r="S987" s="1051"/>
      <c r="T987" s="1051"/>
      <c r="U987" s="1051"/>
      <c r="V987" s="1051"/>
      <c r="W987" s="1051"/>
      <c r="X987" s="1051"/>
      <c r="Y987" s="1051"/>
    </row>
    <row r="993" spans="4:25">
      <c r="D993" s="803" t="s">
        <v>1489</v>
      </c>
      <c r="E993" s="803"/>
      <c r="F993" s="803"/>
      <c r="G993" s="803"/>
      <c r="H993" s="803"/>
      <c r="I993" s="803"/>
      <c r="J993" s="803"/>
      <c r="K993" s="803"/>
      <c r="L993" s="803"/>
      <c r="M993" s="803"/>
      <c r="N993" s="803"/>
      <c r="O993" s="803"/>
      <c r="P993" s="803"/>
      <c r="Q993" s="803"/>
      <c r="R993" s="803"/>
      <c r="S993" s="803"/>
      <c r="T993" s="803"/>
      <c r="U993" s="803"/>
      <c r="V993" s="803"/>
      <c r="W993" s="803"/>
      <c r="X993" s="803"/>
      <c r="Y993" s="803"/>
    </row>
    <row r="995" spans="4:25">
      <c r="D995" s="2" t="s">
        <v>881</v>
      </c>
      <c r="E995" s="852" t="s">
        <v>1064</v>
      </c>
      <c r="F995" s="852"/>
      <c r="G995" s="852"/>
      <c r="H995" s="852"/>
      <c r="I995" s="852"/>
      <c r="J995" s="852"/>
      <c r="K995" s="852"/>
      <c r="L995" s="852"/>
      <c r="M995" s="852"/>
      <c r="N995" s="852" t="s">
        <v>1061</v>
      </c>
      <c r="O995" s="852"/>
      <c r="P995" s="852"/>
      <c r="Q995" s="852"/>
      <c r="R995" s="852"/>
      <c r="S995" s="852"/>
      <c r="T995" s="852"/>
      <c r="U995" s="852"/>
      <c r="V995" s="852"/>
      <c r="W995" s="852"/>
      <c r="X995" s="852"/>
      <c r="Y995" s="852"/>
    </row>
    <row r="996" spans="4:25" ht="46.5" customHeight="1">
      <c r="D996" s="532">
        <v>1</v>
      </c>
      <c r="E996" s="779" t="s">
        <v>1063</v>
      </c>
      <c r="F996" s="779"/>
      <c r="G996" s="779"/>
      <c r="H996" s="779"/>
      <c r="I996" s="779"/>
      <c r="J996" s="779"/>
      <c r="K996" s="779"/>
      <c r="L996" s="779"/>
      <c r="M996" s="779"/>
      <c r="N996" s="779" t="s">
        <v>1595</v>
      </c>
      <c r="O996" s="779"/>
      <c r="P996" s="779"/>
      <c r="Q996" s="779"/>
      <c r="R996" s="779"/>
      <c r="S996" s="779"/>
      <c r="T996" s="779"/>
      <c r="U996" s="779"/>
      <c r="V996" s="779"/>
      <c r="W996" s="779"/>
      <c r="X996" s="779"/>
      <c r="Y996" s="779"/>
    </row>
    <row r="997" spans="4:25" ht="82.5" customHeight="1">
      <c r="D997" s="532">
        <v>2</v>
      </c>
      <c r="E997" s="779" t="s">
        <v>1065</v>
      </c>
      <c r="F997" s="779"/>
      <c r="G997" s="779"/>
      <c r="H997" s="779"/>
      <c r="I997" s="779"/>
      <c r="J997" s="779"/>
      <c r="K997" s="779"/>
      <c r="L997" s="779"/>
      <c r="M997" s="779"/>
      <c r="N997" s="800" t="s">
        <v>1596</v>
      </c>
      <c r="O997" s="779"/>
      <c r="P997" s="779"/>
      <c r="Q997" s="779"/>
      <c r="R997" s="779"/>
      <c r="S997" s="779"/>
      <c r="T997" s="779"/>
      <c r="U997" s="779"/>
      <c r="V997" s="779"/>
      <c r="W997" s="779"/>
      <c r="X997" s="779"/>
      <c r="Y997" s="779"/>
    </row>
    <row r="998" spans="4:25" ht="45.75" customHeight="1">
      <c r="D998" s="532">
        <v>3</v>
      </c>
      <c r="E998" s="800" t="s">
        <v>1067</v>
      </c>
      <c r="F998" s="800"/>
      <c r="G998" s="800"/>
      <c r="H998" s="800"/>
      <c r="I998" s="800"/>
      <c r="J998" s="800"/>
      <c r="K998" s="800"/>
      <c r="L998" s="800"/>
      <c r="M998" s="800"/>
      <c r="N998" s="779" t="s">
        <v>1597</v>
      </c>
      <c r="O998" s="779"/>
      <c r="P998" s="779"/>
      <c r="Q998" s="779"/>
      <c r="R998" s="779"/>
      <c r="S998" s="779"/>
      <c r="T998" s="779"/>
      <c r="U998" s="779"/>
      <c r="V998" s="779"/>
      <c r="W998" s="779"/>
      <c r="X998" s="779"/>
      <c r="Y998" s="779"/>
    </row>
    <row r="999" spans="4:25" ht="90.75" customHeight="1">
      <c r="D999" s="532">
        <v>4</v>
      </c>
      <c r="E999" s="779" t="s">
        <v>1068</v>
      </c>
      <c r="F999" s="779"/>
      <c r="G999" s="779"/>
      <c r="H999" s="779"/>
      <c r="I999" s="779"/>
      <c r="J999" s="779"/>
      <c r="K999" s="779"/>
      <c r="L999" s="779"/>
      <c r="M999" s="779"/>
      <c r="N999" s="807" t="s">
        <v>1069</v>
      </c>
      <c r="O999" s="807"/>
      <c r="P999" s="807"/>
      <c r="Q999" s="807"/>
      <c r="R999" s="807"/>
      <c r="S999" s="807"/>
      <c r="T999" s="807"/>
      <c r="U999" s="807"/>
      <c r="V999" s="807"/>
      <c r="W999" s="807"/>
      <c r="X999" s="807"/>
      <c r="Y999" s="807"/>
    </row>
    <row r="1000" spans="4:25">
      <c r="D1000" s="536">
        <v>5</v>
      </c>
      <c r="E1000" s="1048" t="s">
        <v>1070</v>
      </c>
      <c r="F1000" s="1048"/>
      <c r="G1000" s="1048"/>
      <c r="H1000" s="1048"/>
      <c r="I1000" s="1048"/>
      <c r="J1000" s="1048"/>
      <c r="K1000" s="1048"/>
      <c r="L1000" s="1048"/>
      <c r="M1000" s="1048"/>
      <c r="N1000" s="1048" t="s">
        <v>1071</v>
      </c>
      <c r="O1000" s="1048"/>
      <c r="P1000" s="1048"/>
      <c r="Q1000" s="1048"/>
      <c r="R1000" s="1048"/>
      <c r="S1000" s="1048"/>
      <c r="T1000" s="1048"/>
      <c r="U1000" s="1048"/>
      <c r="V1000" s="1048"/>
      <c r="W1000" s="1048"/>
      <c r="X1000" s="1048"/>
      <c r="Y1000" s="1048"/>
    </row>
    <row r="1001" spans="4:25">
      <c r="D1001" s="537"/>
      <c r="E1001" s="1049"/>
      <c r="F1001" s="1049"/>
      <c r="G1001" s="1049"/>
      <c r="H1001" s="1049"/>
      <c r="I1001" s="1049"/>
      <c r="J1001" s="1049"/>
      <c r="K1001" s="1049"/>
      <c r="L1001" s="1049"/>
      <c r="M1001" s="1049"/>
      <c r="N1001" s="1049" t="s">
        <v>1072</v>
      </c>
      <c r="O1001" s="1049"/>
      <c r="P1001" s="1049"/>
      <c r="Q1001" s="1049"/>
      <c r="R1001" s="1049"/>
      <c r="S1001" s="1049"/>
      <c r="T1001" s="1049"/>
      <c r="U1001" s="1049"/>
      <c r="V1001" s="1049"/>
      <c r="W1001" s="1049"/>
      <c r="X1001" s="1049"/>
      <c r="Y1001" s="1049"/>
    </row>
    <row r="1002" spans="4:25" ht="23.25" customHeight="1">
      <c r="D1002" s="9">
        <v>5.0999999999999996</v>
      </c>
      <c r="E1002" s="788" t="s">
        <v>1073</v>
      </c>
      <c r="F1002" s="788"/>
      <c r="G1002" s="788"/>
      <c r="H1002" s="788"/>
      <c r="I1002" s="788"/>
      <c r="J1002" s="788"/>
      <c r="K1002" s="788"/>
      <c r="L1002" s="788"/>
      <c r="M1002" s="788"/>
      <c r="N1002" s="788"/>
      <c r="O1002" s="788"/>
      <c r="P1002" s="788"/>
      <c r="Q1002" s="788"/>
      <c r="R1002" s="788"/>
      <c r="S1002" s="788"/>
      <c r="T1002" s="788"/>
      <c r="U1002" s="788"/>
      <c r="V1002" s="788"/>
      <c r="W1002" s="788"/>
      <c r="X1002" s="788"/>
      <c r="Y1002" s="788"/>
    </row>
    <row r="1003" spans="4:25" ht="23.25" customHeight="1">
      <c r="D1003" s="532">
        <v>6</v>
      </c>
      <c r="E1003" s="788" t="s">
        <v>1074</v>
      </c>
      <c r="F1003" s="788"/>
      <c r="G1003" s="788"/>
      <c r="H1003" s="788"/>
      <c r="I1003" s="788"/>
      <c r="J1003" s="788"/>
      <c r="K1003" s="788"/>
      <c r="L1003" s="788"/>
      <c r="M1003" s="788"/>
      <c r="N1003" s="788"/>
      <c r="O1003" s="788"/>
      <c r="P1003" s="788"/>
      <c r="Q1003" s="788"/>
      <c r="R1003" s="788"/>
      <c r="S1003" s="788"/>
      <c r="T1003" s="788"/>
      <c r="U1003" s="788"/>
      <c r="V1003" s="788"/>
      <c r="W1003" s="788"/>
      <c r="X1003" s="788"/>
      <c r="Y1003" s="788"/>
    </row>
    <row r="1004" spans="4:25" ht="41.25" customHeight="1">
      <c r="D1004" s="532">
        <v>7</v>
      </c>
      <c r="E1004" s="807" t="s">
        <v>1075</v>
      </c>
      <c r="F1004" s="807"/>
      <c r="G1004" s="807"/>
      <c r="H1004" s="807"/>
      <c r="I1004" s="807"/>
      <c r="J1004" s="807"/>
      <c r="K1004" s="807"/>
      <c r="L1004" s="807"/>
      <c r="M1004" s="807"/>
      <c r="N1004" s="788" t="s">
        <v>1598</v>
      </c>
      <c r="O1004" s="788"/>
      <c r="P1004" s="788"/>
      <c r="Q1004" s="788"/>
      <c r="R1004" s="788"/>
      <c r="S1004" s="788"/>
      <c r="T1004" s="788"/>
      <c r="U1004" s="788"/>
      <c r="V1004" s="788"/>
      <c r="W1004" s="788"/>
      <c r="X1004" s="788"/>
      <c r="Y1004" s="788"/>
    </row>
    <row r="1005" spans="4:25" ht="17.25" customHeight="1">
      <c r="D1005" s="1045">
        <v>8</v>
      </c>
      <c r="E1005" s="1033" t="s">
        <v>1076</v>
      </c>
      <c r="F1005" s="1034"/>
      <c r="G1005" s="1034"/>
      <c r="H1005" s="1034"/>
      <c r="I1005" s="1034"/>
      <c r="J1005" s="1034"/>
      <c r="K1005" s="1034"/>
      <c r="L1005" s="1034"/>
      <c r="M1005" s="1035"/>
      <c r="N1005" s="482"/>
      <c r="O1005" s="468"/>
      <c r="P1005" s="468"/>
      <c r="Q1005" s="468"/>
      <c r="R1005" s="468"/>
      <c r="S1005" s="468"/>
      <c r="T1005" s="468"/>
      <c r="U1005" s="468"/>
      <c r="V1005" s="468"/>
      <c r="W1005" s="468"/>
      <c r="X1005" s="468"/>
      <c r="Y1005" s="489"/>
    </row>
    <row r="1006" spans="4:25">
      <c r="D1006" s="1046"/>
      <c r="E1006" s="1054"/>
      <c r="F1006" s="1055"/>
      <c r="G1006" s="1055"/>
      <c r="H1006" s="1055"/>
      <c r="I1006" s="1055"/>
      <c r="J1006" s="1055"/>
      <c r="K1006" s="1055"/>
      <c r="L1006" s="1055"/>
      <c r="M1006" s="1056"/>
      <c r="N1006" s="483"/>
      <c r="O1006" s="786" t="s">
        <v>1077</v>
      </c>
      <c r="P1006" s="786"/>
      <c r="Q1006" s="786"/>
      <c r="R1006" s="786"/>
      <c r="S1006" s="786" t="s">
        <v>1078</v>
      </c>
      <c r="T1006" s="786"/>
      <c r="U1006" s="786"/>
      <c r="V1006" s="786" t="s">
        <v>1079</v>
      </c>
      <c r="W1006" s="786"/>
      <c r="X1006" s="786"/>
      <c r="Y1006" s="490"/>
    </row>
    <row r="1007" spans="4:25">
      <c r="D1007" s="1046"/>
      <c r="E1007" s="1054"/>
      <c r="F1007" s="1055"/>
      <c r="G1007" s="1055"/>
      <c r="H1007" s="1055"/>
      <c r="I1007" s="1055"/>
      <c r="J1007" s="1055"/>
      <c r="K1007" s="1055"/>
      <c r="L1007" s="1055"/>
      <c r="M1007" s="1056"/>
      <c r="N1007" s="483"/>
      <c r="O1007" s="786" t="s">
        <v>1088</v>
      </c>
      <c r="P1007" s="786"/>
      <c r="Q1007" s="786"/>
      <c r="R1007" s="786"/>
      <c r="S1007" s="786" t="s">
        <v>1601</v>
      </c>
      <c r="T1007" s="786"/>
      <c r="U1007" s="786"/>
      <c r="V1007" s="789">
        <v>190</v>
      </c>
      <c r="W1007" s="786"/>
      <c r="X1007" s="786"/>
      <c r="Y1007" s="490"/>
    </row>
    <row r="1008" spans="4:25">
      <c r="D1008" s="1046"/>
      <c r="E1008" s="1054"/>
      <c r="F1008" s="1055"/>
      <c r="G1008" s="1055"/>
      <c r="H1008" s="1055"/>
      <c r="I1008" s="1055"/>
      <c r="J1008" s="1055"/>
      <c r="K1008" s="1055"/>
      <c r="L1008" s="1055"/>
      <c r="M1008" s="1056"/>
      <c r="N1008" s="483"/>
      <c r="O1008" s="786" t="s">
        <v>1089</v>
      </c>
      <c r="P1008" s="786"/>
      <c r="Q1008" s="786"/>
      <c r="R1008" s="786"/>
      <c r="S1008" s="786" t="s">
        <v>1572</v>
      </c>
      <c r="T1008" s="786"/>
      <c r="U1008" s="786"/>
      <c r="V1008" s="789">
        <v>85</v>
      </c>
      <c r="W1008" s="786"/>
      <c r="X1008" s="786"/>
      <c r="Y1008" s="490"/>
    </row>
    <row r="1009" spans="4:25">
      <c r="D1009" s="1046"/>
      <c r="E1009" s="1054"/>
      <c r="F1009" s="1055"/>
      <c r="G1009" s="1055"/>
      <c r="H1009" s="1055"/>
      <c r="I1009" s="1055"/>
      <c r="J1009" s="1055"/>
      <c r="K1009" s="1055"/>
      <c r="L1009" s="1055"/>
      <c r="M1009" s="1056"/>
      <c r="N1009" s="483"/>
      <c r="O1009" s="786" t="s">
        <v>1090</v>
      </c>
      <c r="P1009" s="786"/>
      <c r="Q1009" s="786"/>
      <c r="R1009" s="786"/>
      <c r="S1009" s="786" t="s">
        <v>1572</v>
      </c>
      <c r="T1009" s="786"/>
      <c r="U1009" s="786"/>
      <c r="V1009" s="1058">
        <v>12.5</v>
      </c>
      <c r="W1009" s="786"/>
      <c r="X1009" s="786"/>
      <c r="Y1009" s="490"/>
    </row>
    <row r="1010" spans="4:25">
      <c r="D1010" s="1046"/>
      <c r="E1010" s="1054"/>
      <c r="F1010" s="1055"/>
      <c r="G1010" s="1055"/>
      <c r="H1010" s="1055"/>
      <c r="I1010" s="1055"/>
      <c r="J1010" s="1055"/>
      <c r="K1010" s="1055"/>
      <c r="L1010" s="1055"/>
      <c r="M1010" s="1056"/>
      <c r="N1010" s="483"/>
      <c r="O1010" s="786" t="s">
        <v>1569</v>
      </c>
      <c r="P1010" s="786"/>
      <c r="Q1010" s="786"/>
      <c r="R1010" s="786"/>
      <c r="S1010" s="786" t="s">
        <v>1572</v>
      </c>
      <c r="T1010" s="786"/>
      <c r="U1010" s="786"/>
      <c r="V1010" s="1058">
        <v>12.5</v>
      </c>
      <c r="W1010" s="786"/>
      <c r="X1010" s="786"/>
      <c r="Y1010" s="490"/>
    </row>
    <row r="1011" spans="4:25">
      <c r="D1011" s="1046"/>
      <c r="E1011" s="1054"/>
      <c r="F1011" s="1055"/>
      <c r="G1011" s="1055"/>
      <c r="H1011" s="1055"/>
      <c r="I1011" s="1055"/>
      <c r="J1011" s="1055"/>
      <c r="K1011" s="1055"/>
      <c r="L1011" s="1055"/>
      <c r="M1011" s="1056"/>
      <c r="N1011" s="483"/>
      <c r="O1011" s="786" t="s">
        <v>1091</v>
      </c>
      <c r="P1011" s="786"/>
      <c r="Q1011" s="786"/>
      <c r="R1011" s="786"/>
      <c r="S1011" s="786" t="s">
        <v>1601</v>
      </c>
      <c r="T1011" s="786"/>
      <c r="U1011" s="786"/>
      <c r="V1011" s="1058">
        <v>100</v>
      </c>
      <c r="W1011" s="786"/>
      <c r="X1011" s="786"/>
      <c r="Y1011" s="490"/>
    </row>
    <row r="1012" spans="4:25">
      <c r="D1012" s="1046"/>
      <c r="E1012" s="1054"/>
      <c r="F1012" s="1055"/>
      <c r="G1012" s="1055"/>
      <c r="H1012" s="1055"/>
      <c r="I1012" s="1055"/>
      <c r="J1012" s="1055"/>
      <c r="K1012" s="1055"/>
      <c r="L1012" s="1055"/>
      <c r="M1012" s="1056"/>
      <c r="N1012" s="483"/>
      <c r="O1012" s="786" t="s">
        <v>1570</v>
      </c>
      <c r="P1012" s="786"/>
      <c r="Q1012" s="786"/>
      <c r="R1012" s="786"/>
      <c r="S1012" s="786" t="s">
        <v>1572</v>
      </c>
      <c r="T1012" s="786"/>
      <c r="U1012" s="786"/>
      <c r="V1012" s="789">
        <v>100</v>
      </c>
      <c r="W1012" s="786"/>
      <c r="X1012" s="786"/>
      <c r="Y1012" s="490"/>
    </row>
    <row r="1013" spans="4:25">
      <c r="D1013" s="1046"/>
      <c r="E1013" s="1054"/>
      <c r="F1013" s="1055"/>
      <c r="G1013" s="1055"/>
      <c r="H1013" s="1055"/>
      <c r="I1013" s="1055"/>
      <c r="J1013" s="1055"/>
      <c r="K1013" s="1055"/>
      <c r="L1013" s="1055"/>
      <c r="M1013" s="1056"/>
      <c r="N1013" s="483"/>
      <c r="O1013" s="786"/>
      <c r="P1013" s="786"/>
      <c r="Q1013" s="786"/>
      <c r="R1013" s="786"/>
      <c r="S1013" s="786"/>
      <c r="T1013" s="786"/>
      <c r="U1013" s="786"/>
      <c r="V1013" s="786"/>
      <c r="W1013" s="786"/>
      <c r="X1013" s="786"/>
      <c r="Y1013" s="490"/>
    </row>
    <row r="1014" spans="4:25">
      <c r="D1014" s="1047"/>
      <c r="E1014" s="1030"/>
      <c r="F1014" s="1031"/>
      <c r="G1014" s="1031"/>
      <c r="H1014" s="1031"/>
      <c r="I1014" s="1031"/>
      <c r="J1014" s="1031"/>
      <c r="K1014" s="1031"/>
      <c r="L1014" s="1031"/>
      <c r="M1014" s="1032"/>
      <c r="N1014" s="484"/>
      <c r="O1014" s="491"/>
      <c r="P1014" s="491"/>
      <c r="Q1014" s="491"/>
      <c r="R1014" s="491"/>
      <c r="S1014" s="491"/>
      <c r="T1014" s="491"/>
      <c r="U1014" s="491"/>
      <c r="V1014" s="491"/>
      <c r="W1014" s="491"/>
      <c r="X1014" s="491"/>
      <c r="Y1014" s="492"/>
    </row>
    <row r="1015" spans="4:25">
      <c r="D1015" s="536"/>
      <c r="E1015" s="1053"/>
      <c r="F1015" s="1053"/>
      <c r="G1015" s="1053"/>
      <c r="H1015" s="1053"/>
      <c r="I1015" s="1053"/>
      <c r="J1015" s="1053"/>
      <c r="K1015" s="1053"/>
      <c r="L1015" s="1053"/>
      <c r="M1015" s="1053"/>
      <c r="N1015" s="1053"/>
      <c r="O1015" s="1053"/>
      <c r="P1015" s="1053"/>
      <c r="Q1015" s="1053"/>
      <c r="R1015" s="1053"/>
      <c r="S1015" s="1053"/>
      <c r="T1015" s="1053"/>
      <c r="U1015" s="1053"/>
      <c r="V1015" s="1053"/>
      <c r="W1015" s="1053"/>
      <c r="X1015" s="1053"/>
      <c r="Y1015" s="1053"/>
    </row>
    <row r="1016" spans="4:25" ht="32.25" customHeight="1">
      <c r="D1016" s="535">
        <v>9</v>
      </c>
      <c r="E1016" s="1057" t="s">
        <v>1080</v>
      </c>
      <c r="F1016" s="1057"/>
      <c r="G1016" s="1057"/>
      <c r="H1016" s="1057"/>
      <c r="I1016" s="1057"/>
      <c r="J1016" s="1057"/>
      <c r="K1016" s="1057"/>
      <c r="L1016" s="1057"/>
      <c r="M1016" s="1057"/>
      <c r="N1016" s="1052" t="s">
        <v>1081</v>
      </c>
      <c r="O1016" s="1052"/>
      <c r="P1016" s="1052"/>
      <c r="Q1016" s="1052"/>
      <c r="R1016" s="1052"/>
      <c r="S1016" s="1052"/>
      <c r="T1016" s="1052"/>
      <c r="U1016" s="1052"/>
      <c r="V1016" s="1052"/>
      <c r="W1016" s="1052"/>
      <c r="X1016" s="1052"/>
      <c r="Y1016" s="1052"/>
    </row>
    <row r="1017" spans="4:25" ht="29.25" customHeight="1">
      <c r="D1017" s="535"/>
      <c r="E1017" s="822"/>
      <c r="F1017" s="822"/>
      <c r="G1017" s="822"/>
      <c r="H1017" s="822"/>
      <c r="I1017" s="822"/>
      <c r="J1017" s="822"/>
      <c r="K1017" s="822"/>
      <c r="L1017" s="822"/>
      <c r="M1017" s="822"/>
      <c r="N1017" s="1052" t="s">
        <v>1599</v>
      </c>
      <c r="O1017" s="1052"/>
      <c r="P1017" s="1052"/>
      <c r="Q1017" s="1052"/>
      <c r="R1017" s="1052"/>
      <c r="S1017" s="1052"/>
      <c r="T1017" s="1052"/>
      <c r="U1017" s="1052"/>
      <c r="V1017" s="1052"/>
      <c r="W1017" s="1052"/>
      <c r="X1017" s="1052"/>
      <c r="Y1017" s="1052"/>
    </row>
    <row r="1018" spans="4:25" ht="29.25" customHeight="1">
      <c r="D1018" s="493"/>
      <c r="E1018" s="822"/>
      <c r="F1018" s="822"/>
      <c r="G1018" s="822"/>
      <c r="H1018" s="822"/>
      <c r="I1018" s="822"/>
      <c r="J1018" s="822"/>
      <c r="K1018" s="822"/>
      <c r="L1018" s="822"/>
      <c r="M1018" s="822"/>
      <c r="N1018" s="1052" t="s">
        <v>1600</v>
      </c>
      <c r="O1018" s="1052"/>
      <c r="P1018" s="1052"/>
      <c r="Q1018" s="1052"/>
      <c r="R1018" s="1052"/>
      <c r="S1018" s="1052"/>
      <c r="T1018" s="1052"/>
      <c r="U1018" s="1052"/>
      <c r="V1018" s="1052"/>
      <c r="W1018" s="1052"/>
      <c r="X1018" s="1052"/>
      <c r="Y1018" s="1052"/>
    </row>
    <row r="1019" spans="4:25">
      <c r="D1019" s="488"/>
      <c r="E1019" s="1051"/>
      <c r="F1019" s="1051"/>
      <c r="G1019" s="1051"/>
      <c r="H1019" s="1051"/>
      <c r="I1019" s="1051"/>
      <c r="J1019" s="1051"/>
      <c r="K1019" s="1051"/>
      <c r="L1019" s="1051"/>
      <c r="M1019" s="1051"/>
      <c r="N1019" s="1051"/>
      <c r="O1019" s="1051"/>
      <c r="P1019" s="1051"/>
      <c r="Q1019" s="1051"/>
      <c r="R1019" s="1051"/>
      <c r="S1019" s="1051"/>
      <c r="T1019" s="1051"/>
      <c r="U1019" s="1051"/>
      <c r="V1019" s="1051"/>
      <c r="W1019" s="1051"/>
      <c r="X1019" s="1051"/>
      <c r="Y1019" s="1051"/>
    </row>
    <row r="1025" spans="4:34">
      <c r="D1025" s="5" t="s">
        <v>1082</v>
      </c>
    </row>
    <row r="1027" spans="4:34" ht="58.5" customHeight="1">
      <c r="D1027" s="801" t="s">
        <v>1083</v>
      </c>
      <c r="E1027" s="801"/>
      <c r="F1027" s="801"/>
      <c r="G1027" s="801"/>
      <c r="H1027" s="801"/>
      <c r="I1027" s="801"/>
      <c r="J1027" s="801"/>
      <c r="K1027" s="801"/>
      <c r="L1027" s="801"/>
      <c r="M1027" s="801"/>
      <c r="N1027" s="801"/>
      <c r="O1027" s="801"/>
      <c r="P1027" s="801"/>
      <c r="Q1027" s="801"/>
      <c r="R1027" s="801"/>
      <c r="S1027" s="801"/>
      <c r="T1027" s="801"/>
      <c r="U1027" s="801"/>
      <c r="V1027" s="801"/>
      <c r="W1027" s="801"/>
      <c r="X1027" s="801"/>
      <c r="Y1027" s="801"/>
    </row>
    <row r="1028" spans="4:34">
      <c r="D1028" s="729"/>
      <c r="E1028" s="729"/>
      <c r="F1028" s="729"/>
      <c r="G1028" s="729"/>
      <c r="H1028" s="729"/>
      <c r="I1028" s="729"/>
      <c r="J1028" s="729"/>
      <c r="K1028" s="729"/>
      <c r="L1028" s="729"/>
      <c r="M1028" s="729"/>
      <c r="N1028" s="729"/>
      <c r="O1028" s="729"/>
      <c r="P1028" s="729"/>
      <c r="Q1028" s="729"/>
      <c r="R1028" s="729"/>
      <c r="S1028" s="729"/>
      <c r="T1028" s="729"/>
      <c r="U1028" s="729"/>
      <c r="V1028" s="729"/>
      <c r="W1028" s="729"/>
      <c r="X1028" s="729"/>
      <c r="Y1028" s="729"/>
    </row>
    <row r="1029" spans="4:34" ht="27.75" customHeight="1">
      <c r="D1029" s="494" t="s">
        <v>952</v>
      </c>
      <c r="E1029" s="852" t="s">
        <v>1058</v>
      </c>
      <c r="F1029" s="852"/>
      <c r="G1029" s="852"/>
      <c r="H1029" s="852"/>
      <c r="I1029" s="852"/>
      <c r="J1029" s="852" t="s">
        <v>1084</v>
      </c>
      <c r="K1029" s="852"/>
      <c r="L1029" s="852"/>
      <c r="M1029" s="852"/>
      <c r="N1029" s="852"/>
      <c r="O1029" s="852"/>
      <c r="P1029" s="852"/>
      <c r="Q1029" s="852"/>
      <c r="R1029" s="852" t="s">
        <v>1085</v>
      </c>
      <c r="S1029" s="852"/>
      <c r="T1029" s="852"/>
      <c r="U1029" s="852"/>
      <c r="V1029" s="852"/>
      <c r="W1029" s="852"/>
      <c r="X1029" s="852"/>
      <c r="Y1029" s="852"/>
    </row>
    <row r="1030" spans="4:34" ht="60.75" customHeight="1">
      <c r="D1030" s="532">
        <v>1</v>
      </c>
      <c r="E1030" s="778" t="s">
        <v>1088</v>
      </c>
      <c r="F1030" s="778"/>
      <c r="G1030" s="778"/>
      <c r="H1030" s="778"/>
      <c r="I1030" s="778"/>
      <c r="J1030" s="800" t="s">
        <v>1604</v>
      </c>
      <c r="K1030" s="800"/>
      <c r="L1030" s="800"/>
      <c r="M1030" s="800"/>
      <c r="N1030" s="800"/>
      <c r="O1030" s="800"/>
      <c r="P1030" s="800"/>
      <c r="Q1030" s="800"/>
      <c r="R1030" s="800" t="s">
        <v>1607</v>
      </c>
      <c r="S1030" s="800"/>
      <c r="T1030" s="800"/>
      <c r="U1030" s="800"/>
      <c r="V1030" s="800"/>
      <c r="W1030" s="800"/>
      <c r="X1030" s="800"/>
      <c r="Y1030" s="800"/>
      <c r="AC1030" s="729"/>
      <c r="AD1030" s="729"/>
      <c r="AE1030" s="729"/>
      <c r="AF1030" s="729"/>
      <c r="AG1030" s="729"/>
      <c r="AH1030" s="729"/>
    </row>
    <row r="1031" spans="4:34" ht="60.75" customHeight="1">
      <c r="D1031" s="532">
        <v>2</v>
      </c>
      <c r="E1031" s="778" t="s">
        <v>1089</v>
      </c>
      <c r="F1031" s="778"/>
      <c r="G1031" s="778"/>
      <c r="H1031" s="778"/>
      <c r="I1031" s="778"/>
      <c r="J1031" s="800" t="s">
        <v>1605</v>
      </c>
      <c r="K1031" s="800"/>
      <c r="L1031" s="800"/>
      <c r="M1031" s="800"/>
      <c r="N1031" s="800"/>
      <c r="O1031" s="800"/>
      <c r="P1031" s="800"/>
      <c r="Q1031" s="800"/>
      <c r="R1031" s="800" t="s">
        <v>1607</v>
      </c>
      <c r="S1031" s="800"/>
      <c r="T1031" s="800"/>
      <c r="U1031" s="800"/>
      <c r="V1031" s="800"/>
      <c r="W1031" s="800"/>
      <c r="X1031" s="800"/>
      <c r="Y1031" s="800"/>
    </row>
    <row r="1032" spans="4:34" ht="63" customHeight="1">
      <c r="D1032" s="532">
        <v>3</v>
      </c>
      <c r="E1032" s="778" t="s">
        <v>1090</v>
      </c>
      <c r="F1032" s="778"/>
      <c r="G1032" s="778"/>
      <c r="H1032" s="778"/>
      <c r="I1032" s="778"/>
      <c r="J1032" s="800" t="s">
        <v>1606</v>
      </c>
      <c r="K1032" s="800"/>
      <c r="L1032" s="800"/>
      <c r="M1032" s="800"/>
      <c r="N1032" s="800"/>
      <c r="O1032" s="800"/>
      <c r="P1032" s="800"/>
      <c r="Q1032" s="800"/>
      <c r="R1032" s="800" t="s">
        <v>1607</v>
      </c>
      <c r="S1032" s="800"/>
      <c r="T1032" s="800"/>
      <c r="U1032" s="800"/>
      <c r="V1032" s="800"/>
      <c r="W1032" s="800"/>
      <c r="X1032" s="800"/>
      <c r="Y1032" s="800"/>
    </row>
    <row r="1033" spans="4:34" ht="63" customHeight="1">
      <c r="D1033" s="532">
        <v>4</v>
      </c>
      <c r="E1033" s="778" t="s">
        <v>1091</v>
      </c>
      <c r="F1033" s="778"/>
      <c r="G1033" s="778"/>
      <c r="H1033" s="778"/>
      <c r="I1033" s="778"/>
      <c r="J1033" s="800" t="s">
        <v>1602</v>
      </c>
      <c r="K1033" s="800"/>
      <c r="L1033" s="800"/>
      <c r="M1033" s="800"/>
      <c r="N1033" s="800"/>
      <c r="O1033" s="800"/>
      <c r="P1033" s="800"/>
      <c r="Q1033" s="800"/>
      <c r="R1033" s="800" t="s">
        <v>1603</v>
      </c>
      <c r="S1033" s="800"/>
      <c r="T1033" s="800"/>
      <c r="U1033" s="800"/>
      <c r="V1033" s="800"/>
      <c r="W1033" s="800"/>
      <c r="X1033" s="800"/>
      <c r="Y1033" s="800"/>
    </row>
    <row r="1034" spans="4:34" ht="63" customHeight="1">
      <c r="D1034" s="532">
        <v>5</v>
      </c>
      <c r="E1034" s="778" t="s">
        <v>1092</v>
      </c>
      <c r="F1034" s="778"/>
      <c r="G1034" s="778"/>
      <c r="H1034" s="778"/>
      <c r="I1034" s="778"/>
      <c r="J1034" s="800" t="s">
        <v>1087</v>
      </c>
      <c r="K1034" s="800"/>
      <c r="L1034" s="800"/>
      <c r="M1034" s="800"/>
      <c r="N1034" s="800"/>
      <c r="O1034" s="800"/>
      <c r="P1034" s="800"/>
      <c r="Q1034" s="800"/>
      <c r="R1034" s="800" t="s">
        <v>1086</v>
      </c>
      <c r="S1034" s="800"/>
      <c r="T1034" s="800"/>
      <c r="U1034" s="800"/>
      <c r="V1034" s="800"/>
      <c r="W1034" s="800"/>
      <c r="X1034" s="800"/>
      <c r="Y1034" s="800"/>
    </row>
    <row r="1035" spans="4:34" ht="63" customHeight="1">
      <c r="D1035" s="532">
        <v>6</v>
      </c>
      <c r="E1035" s="778" t="s">
        <v>1569</v>
      </c>
      <c r="F1035" s="778"/>
      <c r="G1035" s="778"/>
      <c r="H1035" s="778"/>
      <c r="I1035" s="778"/>
      <c r="J1035" s="800" t="s">
        <v>1087</v>
      </c>
      <c r="K1035" s="800"/>
      <c r="L1035" s="800"/>
      <c r="M1035" s="800"/>
      <c r="N1035" s="800"/>
      <c r="O1035" s="800"/>
      <c r="P1035" s="800"/>
      <c r="Q1035" s="800"/>
      <c r="R1035" s="800" t="s">
        <v>1086</v>
      </c>
      <c r="S1035" s="800"/>
      <c r="T1035" s="800"/>
      <c r="U1035" s="800"/>
      <c r="V1035" s="800"/>
      <c r="W1035" s="800"/>
      <c r="X1035" s="800"/>
      <c r="Y1035" s="800"/>
    </row>
    <row r="1036" spans="4:34" ht="63" customHeight="1">
      <c r="D1036" s="532">
        <v>8</v>
      </c>
      <c r="E1036" s="778"/>
      <c r="F1036" s="778"/>
      <c r="G1036" s="778"/>
      <c r="H1036" s="778"/>
      <c r="I1036" s="778"/>
      <c r="J1036" s="800"/>
      <c r="K1036" s="800"/>
      <c r="L1036" s="800"/>
      <c r="M1036" s="800"/>
      <c r="N1036" s="800"/>
      <c r="O1036" s="800"/>
      <c r="P1036" s="800"/>
      <c r="Q1036" s="800"/>
      <c r="R1036" s="800"/>
      <c r="S1036" s="800"/>
      <c r="T1036" s="800"/>
      <c r="U1036" s="800"/>
      <c r="V1036" s="800"/>
      <c r="W1036" s="800"/>
      <c r="X1036" s="800"/>
      <c r="Y1036" s="800"/>
    </row>
    <row r="1037" spans="4:34" ht="63" customHeight="1">
      <c r="D1037" s="532">
        <v>8</v>
      </c>
      <c r="E1037" s="778"/>
      <c r="F1037" s="778"/>
      <c r="G1037" s="778"/>
      <c r="H1037" s="778"/>
      <c r="I1037" s="778"/>
      <c r="J1037" s="800"/>
      <c r="K1037" s="800"/>
      <c r="L1037" s="800"/>
      <c r="M1037" s="800"/>
      <c r="N1037" s="800"/>
      <c r="O1037" s="800"/>
      <c r="P1037" s="800"/>
      <c r="Q1037" s="800"/>
      <c r="R1037" s="800"/>
      <c r="S1037" s="800"/>
      <c r="T1037" s="800"/>
      <c r="U1037" s="800"/>
      <c r="V1037" s="800"/>
      <c r="W1037" s="800"/>
      <c r="X1037" s="800"/>
      <c r="Y1037" s="800"/>
    </row>
    <row r="1038" spans="4:34" ht="63" customHeight="1">
      <c r="D1038" s="532">
        <v>9</v>
      </c>
      <c r="E1038" s="778"/>
      <c r="F1038" s="778"/>
      <c r="G1038" s="778"/>
      <c r="H1038" s="778"/>
      <c r="I1038" s="778"/>
      <c r="J1038" s="800"/>
      <c r="K1038" s="800"/>
      <c r="L1038" s="800"/>
      <c r="M1038" s="800"/>
      <c r="N1038" s="800"/>
      <c r="O1038" s="800"/>
      <c r="P1038" s="800"/>
      <c r="Q1038" s="800"/>
      <c r="R1038" s="800"/>
      <c r="S1038" s="800"/>
      <c r="T1038" s="800"/>
      <c r="U1038" s="800"/>
      <c r="V1038" s="800"/>
      <c r="W1038" s="800"/>
      <c r="X1038" s="800"/>
      <c r="Y1038" s="800"/>
    </row>
    <row r="1039" spans="4:34">
      <c r="D1039" s="9"/>
      <c r="E1039" s="786"/>
      <c r="F1039" s="786"/>
      <c r="G1039" s="786"/>
      <c r="H1039" s="786"/>
      <c r="I1039" s="786"/>
      <c r="J1039" s="786"/>
      <c r="K1039" s="786"/>
      <c r="L1039" s="786"/>
      <c r="M1039" s="786"/>
      <c r="N1039" s="786"/>
      <c r="O1039" s="786"/>
      <c r="P1039" s="786"/>
      <c r="Q1039" s="786"/>
      <c r="R1039" s="786"/>
      <c r="S1039" s="786"/>
      <c r="T1039" s="786"/>
      <c r="U1039" s="786"/>
      <c r="V1039" s="786"/>
      <c r="W1039" s="786"/>
      <c r="X1039" s="786"/>
      <c r="Y1039" s="786"/>
    </row>
    <row r="1044" spans="4:25">
      <c r="D1044" s="5" t="s">
        <v>1093</v>
      </c>
    </row>
    <row r="1046" spans="4:25" ht="36" customHeight="1">
      <c r="D1046" s="801" t="s">
        <v>1094</v>
      </c>
      <c r="E1046" s="801"/>
      <c r="F1046" s="801"/>
      <c r="G1046" s="801"/>
      <c r="H1046" s="801"/>
      <c r="I1046" s="801"/>
      <c r="J1046" s="801"/>
      <c r="K1046" s="801"/>
      <c r="L1046" s="801"/>
      <c r="M1046" s="801"/>
      <c r="N1046" s="801"/>
      <c r="O1046" s="801"/>
      <c r="P1046" s="801"/>
      <c r="Q1046" s="801"/>
      <c r="R1046" s="801"/>
      <c r="S1046" s="801"/>
      <c r="T1046" s="801"/>
      <c r="U1046" s="801"/>
      <c r="V1046" s="801"/>
      <c r="W1046" s="801"/>
      <c r="X1046" s="801"/>
      <c r="Y1046" s="801"/>
    </row>
    <row r="1047" spans="4:25" ht="36.75" customHeight="1">
      <c r="D1047" s="802" t="s">
        <v>1095</v>
      </c>
      <c r="E1047" s="802"/>
      <c r="F1047" s="802"/>
      <c r="G1047" s="802"/>
      <c r="H1047" s="802"/>
      <c r="I1047" s="802"/>
      <c r="J1047" s="802"/>
      <c r="K1047" s="802"/>
      <c r="L1047" s="802"/>
      <c r="M1047" s="802"/>
      <c r="N1047" s="802"/>
      <c r="O1047" s="802"/>
      <c r="P1047" s="802"/>
      <c r="Q1047" s="802"/>
      <c r="R1047" s="802"/>
      <c r="S1047" s="802"/>
      <c r="T1047" s="802"/>
      <c r="U1047" s="802"/>
      <c r="V1047" s="802"/>
      <c r="W1047" s="802"/>
      <c r="X1047" s="802"/>
      <c r="Y1047" s="802"/>
    </row>
    <row r="1050" spans="4:25" ht="19.5" customHeight="1">
      <c r="D1050" s="803" t="s">
        <v>1096</v>
      </c>
      <c r="E1050" s="803"/>
      <c r="F1050" s="803"/>
      <c r="G1050" s="803"/>
      <c r="H1050" s="803"/>
      <c r="I1050" s="803"/>
      <c r="J1050" s="803"/>
      <c r="K1050" s="803"/>
      <c r="L1050" s="803"/>
      <c r="M1050" s="803"/>
      <c r="N1050" s="803"/>
      <c r="O1050" s="803"/>
      <c r="P1050" s="803"/>
      <c r="Q1050" s="803"/>
      <c r="R1050" s="803"/>
      <c r="S1050" s="803"/>
      <c r="T1050" s="803"/>
      <c r="U1050" s="803"/>
      <c r="V1050" s="803"/>
      <c r="W1050" s="803"/>
      <c r="X1050" s="803"/>
      <c r="Y1050" s="803"/>
    </row>
    <row r="1052" spans="4:25" ht="33" customHeight="1">
      <c r="D1052" s="995" t="s">
        <v>1098</v>
      </c>
      <c r="E1052" s="995"/>
      <c r="F1052" s="995"/>
      <c r="G1052" s="995"/>
      <c r="H1052" s="995"/>
      <c r="I1052" s="995"/>
      <c r="J1052" s="995"/>
      <c r="K1052" s="995"/>
      <c r="L1052" s="995"/>
      <c r="M1052" s="995"/>
      <c r="N1052" s="995"/>
      <c r="O1052" s="995" t="s">
        <v>1097</v>
      </c>
      <c r="P1052" s="995"/>
      <c r="Q1052" s="995"/>
      <c r="R1052" s="995"/>
      <c r="S1052" s="995"/>
      <c r="T1052" s="995"/>
      <c r="U1052" s="995"/>
      <c r="V1052" s="995"/>
      <c r="W1052" s="995"/>
      <c r="X1052" s="995"/>
      <c r="Y1052" s="995"/>
    </row>
    <row r="1053" spans="4:25" ht="54.75" customHeight="1">
      <c r="D1053" s="800" t="s">
        <v>1099</v>
      </c>
      <c r="E1053" s="800"/>
      <c r="F1053" s="800"/>
      <c r="G1053" s="800"/>
      <c r="H1053" s="800"/>
      <c r="I1053" s="800"/>
      <c r="J1053" s="800"/>
      <c r="K1053" s="800"/>
      <c r="L1053" s="800"/>
      <c r="M1053" s="800"/>
      <c r="N1053" s="800"/>
      <c r="O1053" s="800" t="s">
        <v>1105</v>
      </c>
      <c r="P1053" s="800"/>
      <c r="Q1053" s="800"/>
      <c r="R1053" s="800"/>
      <c r="S1053" s="800"/>
      <c r="T1053" s="800"/>
      <c r="U1053" s="800"/>
      <c r="V1053" s="800"/>
      <c r="W1053" s="800"/>
      <c r="X1053" s="800"/>
      <c r="Y1053" s="800"/>
    </row>
    <row r="1054" spans="4:25" ht="54.75" customHeight="1">
      <c r="D1054" s="800" t="s">
        <v>1100</v>
      </c>
      <c r="E1054" s="800"/>
      <c r="F1054" s="800"/>
      <c r="G1054" s="800"/>
      <c r="H1054" s="800"/>
      <c r="I1054" s="800"/>
      <c r="J1054" s="800"/>
      <c r="K1054" s="800"/>
      <c r="L1054" s="800"/>
      <c r="M1054" s="800"/>
      <c r="N1054" s="800"/>
      <c r="O1054" s="800" t="s">
        <v>1106</v>
      </c>
      <c r="P1054" s="800"/>
      <c r="Q1054" s="800"/>
      <c r="R1054" s="800"/>
      <c r="S1054" s="800"/>
      <c r="T1054" s="800"/>
      <c r="U1054" s="800"/>
      <c r="V1054" s="800"/>
      <c r="W1054" s="800"/>
      <c r="X1054" s="800"/>
      <c r="Y1054" s="800"/>
    </row>
    <row r="1055" spans="4:25" ht="54.75" customHeight="1">
      <c r="D1055" s="800" t="s">
        <v>1101</v>
      </c>
      <c r="E1055" s="800"/>
      <c r="F1055" s="800"/>
      <c r="G1055" s="800"/>
      <c r="H1055" s="800"/>
      <c r="I1055" s="800"/>
      <c r="J1055" s="800"/>
      <c r="K1055" s="800"/>
      <c r="L1055" s="800"/>
      <c r="M1055" s="800"/>
      <c r="N1055" s="800"/>
      <c r="O1055" s="800" t="s">
        <v>1107</v>
      </c>
      <c r="P1055" s="800"/>
      <c r="Q1055" s="800"/>
      <c r="R1055" s="800"/>
      <c r="S1055" s="800"/>
      <c r="T1055" s="800"/>
      <c r="U1055" s="800"/>
      <c r="V1055" s="800"/>
      <c r="W1055" s="800"/>
      <c r="X1055" s="800"/>
      <c r="Y1055" s="800"/>
    </row>
    <row r="1056" spans="4:25" ht="54.75" customHeight="1">
      <c r="D1056" s="800" t="s">
        <v>1102</v>
      </c>
      <c r="E1056" s="800"/>
      <c r="F1056" s="800"/>
      <c r="G1056" s="800"/>
      <c r="H1056" s="800"/>
      <c r="I1056" s="800"/>
      <c r="J1056" s="800"/>
      <c r="K1056" s="800"/>
      <c r="L1056" s="800"/>
      <c r="M1056" s="800"/>
      <c r="N1056" s="800"/>
      <c r="O1056" s="800" t="s">
        <v>1108</v>
      </c>
      <c r="P1056" s="800"/>
      <c r="Q1056" s="800"/>
      <c r="R1056" s="800"/>
      <c r="S1056" s="800"/>
      <c r="T1056" s="800"/>
      <c r="U1056" s="800"/>
      <c r="V1056" s="800"/>
      <c r="W1056" s="800"/>
      <c r="X1056" s="800"/>
      <c r="Y1056" s="800"/>
    </row>
    <row r="1057" spans="4:25" ht="54.75" customHeight="1">
      <c r="D1057" s="800" t="s">
        <v>1103</v>
      </c>
      <c r="E1057" s="800"/>
      <c r="F1057" s="800"/>
      <c r="G1057" s="800"/>
      <c r="H1057" s="800"/>
      <c r="I1057" s="800"/>
      <c r="J1057" s="800"/>
      <c r="K1057" s="800"/>
      <c r="L1057" s="800"/>
      <c r="M1057" s="800"/>
      <c r="N1057" s="800"/>
      <c r="O1057" s="800" t="s">
        <v>1109</v>
      </c>
      <c r="P1057" s="800"/>
      <c r="Q1057" s="800"/>
      <c r="R1057" s="800"/>
      <c r="S1057" s="800"/>
      <c r="T1057" s="800"/>
      <c r="U1057" s="800"/>
      <c r="V1057" s="800"/>
      <c r="W1057" s="800"/>
      <c r="X1057" s="800"/>
      <c r="Y1057" s="800"/>
    </row>
    <row r="1058" spans="4:25" ht="54.75" customHeight="1">
      <c r="D1058" s="800" t="s">
        <v>1104</v>
      </c>
      <c r="E1058" s="800"/>
      <c r="F1058" s="800"/>
      <c r="G1058" s="800"/>
      <c r="H1058" s="800"/>
      <c r="I1058" s="800"/>
      <c r="J1058" s="800"/>
      <c r="K1058" s="800"/>
      <c r="L1058" s="800"/>
      <c r="M1058" s="800"/>
      <c r="N1058" s="800"/>
      <c r="O1058" s="800"/>
      <c r="P1058" s="800"/>
      <c r="Q1058" s="800"/>
      <c r="R1058" s="800"/>
      <c r="S1058" s="800"/>
      <c r="T1058" s="800"/>
      <c r="U1058" s="800"/>
      <c r="V1058" s="800"/>
      <c r="W1058" s="800"/>
      <c r="X1058" s="800"/>
      <c r="Y1058" s="800"/>
    </row>
    <row r="1059" spans="4:25">
      <c r="D1059" s="776"/>
      <c r="E1059" s="776"/>
      <c r="F1059" s="776"/>
      <c r="G1059" s="776"/>
      <c r="H1059" s="776"/>
      <c r="I1059" s="776"/>
      <c r="J1059" s="776"/>
      <c r="K1059" s="776"/>
      <c r="L1059" s="776"/>
      <c r="M1059" s="776"/>
      <c r="N1059" s="776"/>
      <c r="O1059" s="729"/>
      <c r="P1059" s="729"/>
      <c r="Q1059" s="729"/>
      <c r="R1059" s="729"/>
      <c r="S1059" s="729"/>
      <c r="T1059" s="729"/>
      <c r="U1059" s="729"/>
      <c r="V1059" s="729"/>
      <c r="W1059" s="729"/>
      <c r="X1059" s="729"/>
      <c r="Y1059" s="729"/>
    </row>
    <row r="1060" spans="4:25">
      <c r="D1060" s="729"/>
      <c r="E1060" s="729"/>
      <c r="F1060" s="729"/>
      <c r="G1060" s="729"/>
      <c r="H1060" s="729"/>
      <c r="I1060" s="729"/>
      <c r="J1060" s="729"/>
      <c r="K1060" s="729"/>
      <c r="L1060" s="729"/>
      <c r="M1060" s="729"/>
      <c r="N1060" s="729"/>
      <c r="O1060" s="729"/>
      <c r="P1060" s="729"/>
      <c r="Q1060" s="729"/>
      <c r="R1060" s="729"/>
      <c r="S1060" s="729"/>
      <c r="T1060" s="729"/>
      <c r="U1060" s="729"/>
      <c r="V1060" s="729"/>
      <c r="W1060" s="729"/>
      <c r="X1060" s="729"/>
      <c r="Y1060" s="729"/>
    </row>
    <row r="1061" spans="4:25">
      <c r="D1061" s="729"/>
      <c r="E1061" s="729"/>
      <c r="F1061" s="729"/>
      <c r="G1061" s="729"/>
      <c r="H1061" s="729"/>
      <c r="I1061" s="729"/>
      <c r="J1061" s="729"/>
      <c r="K1061" s="729"/>
      <c r="L1061" s="729"/>
      <c r="M1061" s="729"/>
      <c r="N1061" s="729"/>
      <c r="O1061" s="729"/>
      <c r="P1061" s="729"/>
      <c r="Q1061" s="729"/>
      <c r="R1061" s="729"/>
      <c r="S1061" s="729"/>
      <c r="T1061" s="729"/>
      <c r="U1061" s="729"/>
      <c r="V1061" s="729"/>
      <c r="W1061" s="729"/>
      <c r="X1061" s="729"/>
      <c r="Y1061" s="729"/>
    </row>
    <row r="1062" spans="4:25" ht="39" customHeight="1">
      <c r="D1062" s="801" t="s">
        <v>1110</v>
      </c>
      <c r="E1062" s="801"/>
      <c r="F1062" s="801"/>
      <c r="G1062" s="801"/>
      <c r="H1062" s="801"/>
      <c r="I1062" s="801"/>
      <c r="J1062" s="801"/>
      <c r="K1062" s="801"/>
      <c r="L1062" s="801"/>
      <c r="M1062" s="801"/>
      <c r="N1062" s="801"/>
      <c r="O1062" s="801"/>
      <c r="P1062" s="801"/>
      <c r="Q1062" s="801"/>
      <c r="R1062" s="801"/>
      <c r="S1062" s="801"/>
      <c r="T1062" s="801"/>
      <c r="U1062" s="801"/>
      <c r="V1062" s="801"/>
      <c r="W1062" s="801"/>
      <c r="X1062" s="801"/>
      <c r="Y1062" s="801"/>
    </row>
    <row r="1063" spans="4:25" ht="39" customHeight="1">
      <c r="D1063" s="458"/>
      <c r="E1063" s="458"/>
      <c r="F1063" s="458"/>
      <c r="G1063" s="458"/>
      <c r="H1063" s="458"/>
      <c r="I1063" s="458"/>
      <c r="J1063" s="458"/>
      <c r="K1063" s="458"/>
      <c r="L1063" s="458"/>
      <c r="M1063" s="458"/>
      <c r="N1063" s="458"/>
      <c r="O1063" s="458"/>
      <c r="P1063" s="458"/>
      <c r="Q1063" s="458"/>
      <c r="R1063" s="458"/>
      <c r="S1063" s="458"/>
      <c r="T1063" s="458"/>
      <c r="U1063" s="458"/>
      <c r="V1063" s="458"/>
      <c r="W1063" s="458"/>
      <c r="X1063" s="458"/>
      <c r="Y1063" s="458"/>
    </row>
    <row r="1064" spans="4:25" ht="39" customHeight="1">
      <c r="D1064" s="458"/>
      <c r="E1064" s="458"/>
      <c r="F1064" s="458"/>
      <c r="G1064" s="458"/>
      <c r="H1064" s="458"/>
      <c r="I1064" s="458"/>
      <c r="J1064" s="458"/>
      <c r="K1064" s="458"/>
      <c r="L1064" s="458"/>
      <c r="M1064" s="458"/>
      <c r="N1064" s="458"/>
      <c r="O1064" s="458"/>
      <c r="P1064" s="458"/>
      <c r="Q1064" s="458"/>
      <c r="R1064" s="458"/>
      <c r="S1064" s="458"/>
      <c r="T1064" s="458"/>
      <c r="U1064" s="458"/>
      <c r="V1064" s="458"/>
      <c r="W1064" s="458"/>
      <c r="X1064" s="458"/>
      <c r="Y1064" s="458"/>
    </row>
    <row r="1065" spans="4:25" ht="14.25" customHeight="1">
      <c r="D1065" s="458"/>
      <c r="E1065" s="458"/>
      <c r="F1065" s="458"/>
      <c r="G1065" s="458"/>
      <c r="H1065" s="458"/>
      <c r="I1065" s="458"/>
      <c r="J1065" s="458"/>
      <c r="K1065" s="458"/>
      <c r="L1065" s="458"/>
      <c r="M1065" s="458"/>
      <c r="N1065" s="458"/>
      <c r="O1065" s="458"/>
      <c r="P1065" s="458"/>
      <c r="Q1065" s="458"/>
      <c r="R1065" s="458"/>
      <c r="S1065" s="458"/>
      <c r="T1065" s="458"/>
      <c r="U1065" s="458"/>
      <c r="V1065" s="458"/>
      <c r="W1065" s="458"/>
      <c r="X1065" s="458"/>
      <c r="Y1065" s="458"/>
    </row>
    <row r="1066" spans="4:25">
      <c r="D1066" s="883" t="s">
        <v>1111</v>
      </c>
      <c r="E1066" s="883"/>
      <c r="F1066" s="883"/>
      <c r="G1066" s="883"/>
      <c r="H1066" s="883"/>
      <c r="I1066" s="883"/>
      <c r="J1066" s="883"/>
      <c r="K1066" s="883"/>
      <c r="L1066" s="883"/>
      <c r="M1066" s="883"/>
      <c r="N1066" s="883"/>
      <c r="O1066" s="729"/>
      <c r="P1066" s="729"/>
      <c r="Q1066" s="729"/>
      <c r="R1066" s="729"/>
      <c r="S1066" s="729"/>
      <c r="T1066" s="729"/>
      <c r="U1066" s="729"/>
      <c r="V1066" s="729"/>
      <c r="W1066" s="729"/>
      <c r="X1066" s="729"/>
      <c r="Y1066" s="729"/>
    </row>
    <row r="1068" spans="4:25" ht="36" customHeight="1">
      <c r="D1068" s="867" t="s">
        <v>1114</v>
      </c>
      <c r="E1068" s="867"/>
      <c r="F1068" s="867" t="s">
        <v>929</v>
      </c>
      <c r="G1068" s="867"/>
      <c r="H1068" s="867"/>
      <c r="I1068" s="867"/>
      <c r="J1068" s="867"/>
      <c r="K1068" s="867"/>
      <c r="L1068" s="867"/>
      <c r="M1068" s="845" t="s">
        <v>1113</v>
      </c>
      <c r="N1068" s="845"/>
      <c r="O1068" s="845"/>
      <c r="P1068" s="845"/>
      <c r="Q1068" s="845"/>
      <c r="R1068" s="845"/>
      <c r="S1068" s="867" t="s">
        <v>1112</v>
      </c>
      <c r="T1068" s="867"/>
      <c r="U1068" s="867"/>
      <c r="V1068" s="867"/>
      <c r="W1068" s="867"/>
      <c r="X1068" s="867"/>
      <c r="Y1068" s="867"/>
    </row>
    <row r="1069" spans="4:25" ht="24" customHeight="1">
      <c r="D1069" s="786" t="s">
        <v>910</v>
      </c>
      <c r="E1069" s="786"/>
      <c r="F1069" s="793" t="s">
        <v>1115</v>
      </c>
      <c r="G1069" s="793"/>
      <c r="H1069" s="793"/>
      <c r="I1069" s="793"/>
      <c r="J1069" s="793"/>
      <c r="K1069" s="793"/>
      <c r="L1069" s="793"/>
      <c r="M1069" s="793"/>
      <c r="N1069" s="793"/>
      <c r="O1069" s="793"/>
      <c r="P1069" s="793"/>
      <c r="Q1069" s="793"/>
      <c r="R1069" s="793"/>
      <c r="S1069" s="793"/>
      <c r="T1069" s="793"/>
      <c r="U1069" s="793"/>
      <c r="V1069" s="793"/>
      <c r="W1069" s="793"/>
      <c r="X1069" s="793"/>
      <c r="Y1069" s="793"/>
    </row>
    <row r="1070" spans="4:25" ht="24" customHeight="1">
      <c r="D1070" s="798">
        <v>1</v>
      </c>
      <c r="E1070" s="799"/>
      <c r="F1070" s="793" t="s">
        <v>1652</v>
      </c>
      <c r="G1070" s="793"/>
      <c r="H1070" s="793"/>
      <c r="I1070" s="793"/>
      <c r="J1070" s="793"/>
      <c r="K1070" s="793"/>
      <c r="L1070" s="793"/>
      <c r="M1070" s="797">
        <v>365</v>
      </c>
      <c r="N1070" s="793"/>
      <c r="O1070" s="793"/>
      <c r="P1070" s="793"/>
      <c r="Q1070" s="793"/>
      <c r="R1070" s="793"/>
      <c r="S1070" s="793"/>
      <c r="T1070" s="793"/>
      <c r="U1070" s="793"/>
      <c r="V1070" s="793"/>
      <c r="W1070" s="793"/>
      <c r="X1070" s="793"/>
      <c r="Y1070" s="793"/>
    </row>
    <row r="1071" spans="4:25" ht="24" customHeight="1">
      <c r="D1071" s="789">
        <v>2</v>
      </c>
      <c r="E1071" s="786"/>
      <c r="F1071" s="793" t="s">
        <v>1735</v>
      </c>
      <c r="G1071" s="793"/>
      <c r="H1071" s="793"/>
      <c r="I1071" s="793"/>
      <c r="J1071" s="793"/>
      <c r="K1071" s="793"/>
      <c r="L1071" s="793"/>
      <c r="M1071" s="793">
        <f>+'13.Facility 2 - Besan'!B8</f>
        <v>179.25699120000007</v>
      </c>
      <c r="N1071" s="793"/>
      <c r="O1071" s="793"/>
      <c r="P1071" s="793"/>
      <c r="Q1071" s="793"/>
      <c r="R1071" s="793"/>
      <c r="S1071" s="793"/>
      <c r="T1071" s="793"/>
      <c r="U1071" s="793"/>
      <c r="V1071" s="793"/>
      <c r="W1071" s="793"/>
      <c r="X1071" s="793"/>
      <c r="Y1071" s="793"/>
    </row>
    <row r="1072" spans="4:25" ht="24" customHeight="1">
      <c r="D1072" s="789">
        <v>3</v>
      </c>
      <c r="E1072" s="786"/>
      <c r="F1072" s="793" t="s">
        <v>1736</v>
      </c>
      <c r="G1072" s="793"/>
      <c r="H1072" s="793"/>
      <c r="I1072" s="793"/>
      <c r="J1072" s="793"/>
      <c r="K1072" s="793"/>
      <c r="L1072" s="793"/>
      <c r="M1072" s="797">
        <v>365</v>
      </c>
      <c r="N1072" s="793"/>
      <c r="O1072" s="793"/>
      <c r="P1072" s="793"/>
      <c r="Q1072" s="793"/>
      <c r="R1072" s="793"/>
      <c r="S1072" s="793"/>
      <c r="T1072" s="793"/>
      <c r="U1072" s="793"/>
      <c r="V1072" s="793"/>
      <c r="W1072" s="793"/>
      <c r="X1072" s="793"/>
      <c r="Y1072" s="793"/>
    </row>
    <row r="1073" spans="4:25" ht="24" customHeight="1">
      <c r="D1073" s="786" t="s">
        <v>911</v>
      </c>
      <c r="E1073" s="786"/>
      <c r="F1073" s="793" t="s">
        <v>1116</v>
      </c>
      <c r="G1073" s="793"/>
      <c r="H1073" s="793"/>
      <c r="I1073" s="793"/>
      <c r="J1073" s="793"/>
      <c r="K1073" s="793"/>
      <c r="L1073" s="793"/>
      <c r="M1073" s="793"/>
      <c r="N1073" s="793"/>
      <c r="O1073" s="793"/>
      <c r="P1073" s="793"/>
      <c r="Q1073" s="793"/>
      <c r="R1073" s="793"/>
      <c r="S1073" s="793"/>
      <c r="T1073" s="793"/>
      <c r="U1073" s="793"/>
      <c r="V1073" s="793"/>
      <c r="W1073" s="793"/>
      <c r="X1073" s="793"/>
      <c r="Y1073" s="793"/>
    </row>
    <row r="1074" spans="4:25" ht="24" customHeight="1">
      <c r="D1074" s="789">
        <v>1</v>
      </c>
      <c r="E1074" s="786"/>
      <c r="F1074" s="793" t="s">
        <v>1737</v>
      </c>
      <c r="G1074" s="793"/>
      <c r="H1074" s="793"/>
      <c r="I1074" s="793"/>
      <c r="J1074" s="793"/>
      <c r="K1074" s="793"/>
      <c r="L1074" s="793"/>
      <c r="M1074" s="797">
        <v>300</v>
      </c>
      <c r="N1074" s="793"/>
      <c r="O1074" s="793"/>
      <c r="P1074" s="793"/>
      <c r="Q1074" s="793"/>
      <c r="R1074" s="793"/>
      <c r="S1074" s="793"/>
      <c r="T1074" s="793"/>
      <c r="U1074" s="793"/>
      <c r="V1074" s="793"/>
      <c r="W1074" s="793"/>
      <c r="X1074" s="793"/>
      <c r="Y1074" s="793"/>
    </row>
    <row r="1075" spans="4:25" ht="24" customHeight="1">
      <c r="D1075" s="789">
        <v>2</v>
      </c>
      <c r="E1075" s="786"/>
      <c r="F1075" s="793" t="s">
        <v>1738</v>
      </c>
      <c r="G1075" s="793"/>
      <c r="H1075" s="793"/>
      <c r="I1075" s="793"/>
      <c r="J1075" s="793"/>
      <c r="K1075" s="793"/>
      <c r="L1075" s="793"/>
      <c r="M1075" s="797">
        <v>300</v>
      </c>
      <c r="N1075" s="793"/>
      <c r="O1075" s="793"/>
      <c r="P1075" s="793"/>
      <c r="Q1075" s="793"/>
      <c r="R1075" s="793"/>
      <c r="S1075" s="793"/>
      <c r="T1075" s="793"/>
      <c r="U1075" s="793"/>
      <c r="V1075" s="793"/>
      <c r="W1075" s="793"/>
      <c r="X1075" s="793"/>
      <c r="Y1075" s="793"/>
    </row>
    <row r="1076" spans="4:25" ht="24" customHeight="1">
      <c r="D1076" s="789">
        <v>3</v>
      </c>
      <c r="E1076" s="786"/>
      <c r="F1076" s="793" t="s">
        <v>1739</v>
      </c>
      <c r="G1076" s="793"/>
      <c r="H1076" s="793"/>
      <c r="I1076" s="793"/>
      <c r="J1076" s="793"/>
      <c r="K1076" s="793"/>
      <c r="L1076" s="793"/>
      <c r="M1076" s="797">
        <v>300</v>
      </c>
      <c r="N1076" s="793"/>
      <c r="O1076" s="793"/>
      <c r="P1076" s="793"/>
      <c r="Q1076" s="793"/>
      <c r="R1076" s="793"/>
      <c r="S1076" s="793"/>
      <c r="T1076" s="793"/>
      <c r="U1076" s="793"/>
      <c r="V1076" s="793"/>
      <c r="W1076" s="793"/>
      <c r="X1076" s="793"/>
      <c r="Y1076" s="793"/>
    </row>
    <row r="1077" spans="4:25" ht="24" customHeight="1">
      <c r="D1077" s="786" t="s">
        <v>933</v>
      </c>
      <c r="E1077" s="786"/>
      <c r="F1077" s="793" t="s">
        <v>1117</v>
      </c>
      <c r="G1077" s="793"/>
      <c r="H1077" s="793"/>
      <c r="I1077" s="793"/>
      <c r="J1077" s="793"/>
      <c r="K1077" s="793"/>
      <c r="L1077" s="793"/>
      <c r="M1077" s="793"/>
      <c r="N1077" s="793"/>
      <c r="O1077" s="793"/>
      <c r="P1077" s="793"/>
      <c r="Q1077" s="793"/>
      <c r="R1077" s="793"/>
      <c r="S1077" s="793"/>
      <c r="T1077" s="793"/>
      <c r="U1077" s="793"/>
      <c r="V1077" s="793"/>
      <c r="W1077" s="793"/>
      <c r="X1077" s="793"/>
      <c r="Y1077" s="793"/>
    </row>
    <row r="1078" spans="4:25" ht="24" customHeight="1">
      <c r="D1078" s="789">
        <v>1</v>
      </c>
      <c r="E1078" s="786"/>
      <c r="F1078" s="793" t="s">
        <v>1740</v>
      </c>
      <c r="G1078" s="793"/>
      <c r="H1078" s="793"/>
      <c r="I1078" s="793"/>
      <c r="J1078" s="793"/>
      <c r="K1078" s="793"/>
      <c r="L1078" s="793"/>
      <c r="M1078" s="797">
        <v>100</v>
      </c>
      <c r="N1078" s="793"/>
      <c r="O1078" s="793"/>
      <c r="P1078" s="793"/>
      <c r="Q1078" s="793"/>
      <c r="R1078" s="793"/>
      <c r="S1078" s="793"/>
      <c r="T1078" s="793"/>
      <c r="U1078" s="793"/>
      <c r="V1078" s="793"/>
      <c r="W1078" s="793"/>
      <c r="X1078" s="793"/>
      <c r="Y1078" s="793"/>
    </row>
    <row r="1079" spans="4:25" ht="24" customHeight="1">
      <c r="D1079" s="789">
        <v>2</v>
      </c>
      <c r="E1079" s="786"/>
      <c r="F1079" s="793"/>
      <c r="G1079" s="793"/>
      <c r="H1079" s="793"/>
      <c r="I1079" s="793"/>
      <c r="J1079" s="793"/>
      <c r="K1079" s="793"/>
      <c r="L1079" s="793"/>
      <c r="M1079" s="793"/>
      <c r="N1079" s="793"/>
      <c r="O1079" s="793"/>
      <c r="P1079" s="793"/>
      <c r="Q1079" s="793"/>
      <c r="R1079" s="793"/>
      <c r="S1079" s="793"/>
      <c r="T1079" s="793"/>
      <c r="U1079" s="793"/>
      <c r="V1079" s="793"/>
      <c r="W1079" s="793"/>
      <c r="X1079" s="793"/>
      <c r="Y1079" s="793"/>
    </row>
    <row r="1080" spans="4:25" ht="24" customHeight="1">
      <c r="D1080" s="786" t="s">
        <v>934</v>
      </c>
      <c r="E1080" s="786"/>
      <c r="F1080" s="793" t="s">
        <v>1118</v>
      </c>
      <c r="G1080" s="793"/>
      <c r="H1080" s="793"/>
      <c r="I1080" s="793"/>
      <c r="J1080" s="793"/>
      <c r="K1080" s="793"/>
      <c r="L1080" s="793"/>
      <c r="M1080" s="793"/>
      <c r="N1080" s="793"/>
      <c r="O1080" s="793"/>
      <c r="P1080" s="793"/>
      <c r="Q1080" s="793"/>
      <c r="R1080" s="793"/>
      <c r="S1080" s="793"/>
      <c r="T1080" s="793"/>
      <c r="U1080" s="793"/>
      <c r="V1080" s="793"/>
      <c r="W1080" s="793"/>
      <c r="X1080" s="793"/>
      <c r="Y1080" s="793"/>
    </row>
    <row r="1081" spans="4:25" ht="24" customHeight="1">
      <c r="D1081" s="789">
        <v>1</v>
      </c>
      <c r="E1081" s="786"/>
      <c r="F1081" s="793" t="s">
        <v>1741</v>
      </c>
      <c r="G1081" s="793"/>
      <c r="H1081" s="793"/>
      <c r="I1081" s="793"/>
      <c r="J1081" s="793"/>
      <c r="K1081" s="793"/>
      <c r="L1081" s="793"/>
      <c r="M1081" s="797">
        <v>365</v>
      </c>
      <c r="N1081" s="793"/>
      <c r="O1081" s="793"/>
      <c r="P1081" s="793"/>
      <c r="Q1081" s="793"/>
      <c r="R1081" s="793"/>
      <c r="S1081" s="793"/>
      <c r="T1081" s="793"/>
      <c r="U1081" s="793"/>
      <c r="V1081" s="793"/>
      <c r="W1081" s="793"/>
      <c r="X1081" s="793"/>
      <c r="Y1081" s="793"/>
    </row>
    <row r="1082" spans="4:25" ht="24" customHeight="1">
      <c r="D1082" s="789">
        <v>2</v>
      </c>
      <c r="E1082" s="786"/>
      <c r="F1082" s="793"/>
      <c r="G1082" s="793"/>
      <c r="H1082" s="793"/>
      <c r="I1082" s="793"/>
      <c r="J1082" s="793"/>
      <c r="K1082" s="793"/>
      <c r="L1082" s="793"/>
      <c r="M1082" s="793"/>
      <c r="N1082" s="793"/>
      <c r="O1082" s="793"/>
      <c r="P1082" s="793"/>
      <c r="Q1082" s="793"/>
      <c r="R1082" s="793"/>
      <c r="S1082" s="793"/>
      <c r="T1082" s="793"/>
      <c r="U1082" s="793"/>
      <c r="V1082" s="793"/>
      <c r="W1082" s="793"/>
      <c r="X1082" s="793"/>
      <c r="Y1082" s="793"/>
    </row>
    <row r="1083" spans="4:25" ht="24" customHeight="1">
      <c r="D1083" s="786" t="s">
        <v>935</v>
      </c>
      <c r="E1083" s="786"/>
      <c r="F1083" s="793" t="s">
        <v>1119</v>
      </c>
      <c r="G1083" s="793"/>
      <c r="H1083" s="793"/>
      <c r="I1083" s="793"/>
      <c r="J1083" s="793"/>
      <c r="K1083" s="793"/>
      <c r="L1083" s="793"/>
      <c r="M1083" s="793"/>
      <c r="N1083" s="793"/>
      <c r="O1083" s="793"/>
      <c r="P1083" s="793"/>
      <c r="Q1083" s="793"/>
      <c r="R1083" s="793"/>
      <c r="S1083" s="793"/>
      <c r="T1083" s="793"/>
      <c r="U1083" s="793"/>
      <c r="V1083" s="793"/>
      <c r="W1083" s="793"/>
      <c r="X1083" s="793"/>
      <c r="Y1083" s="793"/>
    </row>
    <row r="1085" spans="4:25">
      <c r="D1085" s="803" t="s">
        <v>1120</v>
      </c>
      <c r="E1085" s="803"/>
      <c r="F1085" s="803"/>
      <c r="G1085" s="803"/>
      <c r="H1085" s="803"/>
      <c r="I1085" s="803"/>
      <c r="J1085" s="803"/>
      <c r="K1085" s="803"/>
      <c r="L1085" s="803"/>
      <c r="M1085" s="803"/>
      <c r="N1085" s="803"/>
      <c r="O1085" s="803"/>
      <c r="P1085" s="803"/>
      <c r="Q1085" s="803"/>
      <c r="R1085" s="803"/>
      <c r="S1085" s="803"/>
      <c r="T1085" s="803"/>
      <c r="U1085" s="803"/>
      <c r="V1085" s="803"/>
      <c r="W1085" s="803"/>
      <c r="X1085" s="803"/>
      <c r="Y1085" s="803"/>
    </row>
    <row r="1087" spans="4:25">
      <c r="D1087" s="5" t="s">
        <v>1121</v>
      </c>
    </row>
    <row r="1089" spans="4:25" ht="141" customHeight="1">
      <c r="D1089" s="801" t="s">
        <v>1122</v>
      </c>
      <c r="E1089" s="801"/>
      <c r="F1089" s="801"/>
      <c r="G1089" s="801"/>
      <c r="H1089" s="801"/>
      <c r="I1089" s="801"/>
      <c r="J1089" s="801"/>
      <c r="K1089" s="801"/>
      <c r="L1089" s="801"/>
      <c r="M1089" s="801"/>
      <c r="N1089" s="801"/>
      <c r="O1089" s="801"/>
      <c r="P1089" s="801"/>
      <c r="Q1089" s="801"/>
      <c r="R1089" s="801"/>
      <c r="S1089" s="801"/>
      <c r="T1089" s="801"/>
      <c r="U1089" s="801"/>
      <c r="V1089" s="801"/>
      <c r="W1089" s="801"/>
      <c r="X1089" s="801"/>
      <c r="Y1089" s="801"/>
    </row>
    <row r="1100" spans="4:25" ht="30.75" customHeight="1">
      <c r="D1100" s="802" t="s">
        <v>1123</v>
      </c>
      <c r="E1100" s="802"/>
      <c r="F1100" s="802"/>
      <c r="G1100" s="802"/>
      <c r="H1100" s="802"/>
      <c r="I1100" s="802"/>
      <c r="J1100" s="802"/>
      <c r="K1100" s="802"/>
      <c r="L1100" s="802"/>
      <c r="M1100" s="802"/>
      <c r="N1100" s="802"/>
      <c r="O1100" s="802"/>
      <c r="P1100" s="802"/>
      <c r="Q1100" s="802"/>
      <c r="R1100" s="802"/>
      <c r="S1100" s="802"/>
      <c r="T1100" s="802"/>
      <c r="U1100" s="802"/>
      <c r="V1100" s="802"/>
      <c r="W1100" s="802"/>
      <c r="X1100" s="802"/>
      <c r="Y1100" s="802"/>
    </row>
    <row r="1101" spans="4:25" ht="18" customHeight="1">
      <c r="D1101" s="449"/>
      <c r="E1101" s="449"/>
      <c r="F1101" s="449"/>
      <c r="G1101" s="449"/>
      <c r="H1101" s="449"/>
      <c r="I1101" s="449"/>
      <c r="J1101" s="449"/>
      <c r="K1101" s="449"/>
      <c r="L1101" s="449"/>
      <c r="M1101" s="449"/>
      <c r="N1101" s="449"/>
      <c r="O1101" s="449"/>
      <c r="P1101" s="449"/>
      <c r="Q1101" s="449"/>
      <c r="R1101" s="449"/>
      <c r="S1101" s="449"/>
      <c r="T1101" s="449"/>
      <c r="U1101" s="449"/>
      <c r="V1101" s="449"/>
      <c r="W1101" s="449"/>
      <c r="X1101" s="449"/>
      <c r="Y1101" s="449"/>
    </row>
    <row r="1102" spans="4:25" ht="42" customHeight="1">
      <c r="D1102" s="476" t="s">
        <v>1114</v>
      </c>
      <c r="E1102" s="845" t="s">
        <v>1124</v>
      </c>
      <c r="F1102" s="845"/>
      <c r="G1102" s="845"/>
      <c r="H1102" s="845"/>
      <c r="I1102" s="845"/>
      <c r="J1102" s="845"/>
      <c r="K1102" s="845" t="s">
        <v>1125</v>
      </c>
      <c r="L1102" s="845"/>
      <c r="M1102" s="845"/>
      <c r="N1102" s="845" t="s">
        <v>1126</v>
      </c>
      <c r="O1102" s="845"/>
      <c r="P1102" s="845"/>
      <c r="Q1102" s="845" t="s">
        <v>902</v>
      </c>
      <c r="R1102" s="845"/>
      <c r="S1102" s="845"/>
      <c r="T1102" s="845"/>
      <c r="U1102" s="845" t="s">
        <v>1127</v>
      </c>
      <c r="V1102" s="845"/>
      <c r="W1102" s="845"/>
      <c r="X1102" s="845"/>
      <c r="Y1102" s="845"/>
    </row>
    <row r="1103" spans="4:25" ht="23.25" customHeight="1">
      <c r="D1103" s="9"/>
      <c r="E1103" s="837" t="s">
        <v>1509</v>
      </c>
      <c r="F1103" s="838"/>
      <c r="G1103" s="838"/>
      <c r="H1103" s="838"/>
      <c r="I1103" s="838"/>
      <c r="J1103" s="838"/>
      <c r="K1103" s="838"/>
      <c r="L1103" s="838"/>
      <c r="M1103" s="838"/>
      <c r="N1103" s="838" t="s">
        <v>1652</v>
      </c>
      <c r="O1103" s="838"/>
      <c r="P1103" s="838"/>
      <c r="Q1103" s="838"/>
      <c r="R1103" s="838"/>
      <c r="S1103" s="838"/>
      <c r="T1103" s="838"/>
      <c r="U1103" s="838"/>
      <c r="V1103" s="838"/>
      <c r="W1103" s="838"/>
      <c r="X1103" s="838"/>
      <c r="Y1103" s="839"/>
    </row>
    <row r="1104" spans="4:25" ht="23.25" customHeight="1">
      <c r="D1104" s="9"/>
      <c r="E1104" s="788" t="s">
        <v>1128</v>
      </c>
      <c r="F1104" s="788"/>
      <c r="G1104" s="788"/>
      <c r="H1104" s="788"/>
      <c r="I1104" s="788"/>
      <c r="J1104" s="788"/>
      <c r="K1104" s="788"/>
      <c r="L1104" s="788"/>
      <c r="M1104" s="788"/>
      <c r="N1104" s="788"/>
      <c r="O1104" s="788"/>
      <c r="P1104" s="788"/>
      <c r="Q1104" s="788"/>
      <c r="R1104" s="788"/>
      <c r="S1104" s="788"/>
      <c r="T1104" s="788"/>
      <c r="U1104" s="788"/>
      <c r="V1104" s="788"/>
      <c r="W1104" s="788"/>
      <c r="X1104" s="788"/>
      <c r="Y1104" s="788"/>
    </row>
    <row r="1105" spans="4:29">
      <c r="D1105" s="9"/>
      <c r="E1105" s="788" t="s">
        <v>1652</v>
      </c>
      <c r="F1105" s="788"/>
      <c r="G1105" s="788"/>
      <c r="H1105" s="788"/>
      <c r="I1105" s="788"/>
      <c r="J1105" s="788"/>
      <c r="K1105" s="812">
        <f>+'14. Facility 3 Warehouse'!B4</f>
        <v>1000</v>
      </c>
      <c r="L1105" s="813"/>
      <c r="M1105" s="509" t="s">
        <v>1507</v>
      </c>
      <c r="N1105" s="795">
        <f>+'2.Capex Details'!G6</f>
        <v>14198.222222222223</v>
      </c>
      <c r="O1105" s="795"/>
      <c r="P1105" s="795"/>
      <c r="Q1105" s="795">
        <f>+'2.Capex Details'!F6</f>
        <v>450</v>
      </c>
      <c r="R1105" s="795"/>
      <c r="S1105" s="795"/>
      <c r="T1105" s="795"/>
      <c r="U1105" s="795">
        <f>+'2.Capex Details'!H6</f>
        <v>6389200</v>
      </c>
      <c r="V1105" s="795"/>
      <c r="W1105" s="795"/>
      <c r="X1105" s="795"/>
      <c r="Y1105" s="795"/>
    </row>
    <row r="1106" spans="4:29">
      <c r="D1106" s="9"/>
      <c r="E1106" s="788"/>
      <c r="F1106" s="788"/>
      <c r="G1106" s="788"/>
      <c r="H1106" s="788"/>
      <c r="I1106" s="788"/>
      <c r="J1106" s="788"/>
      <c r="K1106" s="788"/>
      <c r="L1106" s="788"/>
      <c r="M1106" s="788"/>
      <c r="N1106" s="795"/>
      <c r="O1106" s="795"/>
      <c r="P1106" s="795"/>
      <c r="Q1106" s="795"/>
      <c r="R1106" s="795"/>
      <c r="S1106" s="795"/>
      <c r="T1106" s="795"/>
      <c r="U1106" s="795"/>
      <c r="V1106" s="795"/>
      <c r="W1106" s="795"/>
      <c r="X1106" s="795"/>
      <c r="Y1106" s="795"/>
    </row>
    <row r="1107" spans="4:29" hidden="1">
      <c r="D1107" s="9"/>
      <c r="E1107" s="788"/>
      <c r="F1107" s="788"/>
      <c r="G1107" s="788"/>
      <c r="H1107" s="788"/>
      <c r="I1107" s="788"/>
      <c r="J1107" s="788"/>
      <c r="K1107" s="788"/>
      <c r="L1107" s="788"/>
      <c r="M1107" s="788"/>
      <c r="N1107" s="795"/>
      <c r="O1107" s="795"/>
      <c r="P1107" s="795"/>
      <c r="Q1107" s="795"/>
      <c r="R1107" s="795"/>
      <c r="S1107" s="795"/>
      <c r="T1107" s="795"/>
      <c r="U1107" s="795"/>
      <c r="V1107" s="795"/>
      <c r="W1107" s="795"/>
      <c r="X1107" s="795"/>
      <c r="Y1107" s="795"/>
    </row>
    <row r="1108" spans="4:29">
      <c r="D1108" s="9"/>
      <c r="E1108" s="788" t="s">
        <v>1129</v>
      </c>
      <c r="F1108" s="788"/>
      <c r="G1108" s="788"/>
      <c r="H1108" s="788"/>
      <c r="I1108" s="788"/>
      <c r="J1108" s="788"/>
      <c r="K1108" s="788"/>
      <c r="L1108" s="788"/>
      <c r="M1108" s="788"/>
      <c r="N1108" s="795"/>
      <c r="O1108" s="795"/>
      <c r="P1108" s="795"/>
      <c r="Q1108" s="795"/>
      <c r="R1108" s="795"/>
      <c r="S1108" s="795"/>
      <c r="T1108" s="795"/>
      <c r="U1108" s="795"/>
      <c r="V1108" s="795"/>
      <c r="W1108" s="795"/>
      <c r="X1108" s="795"/>
      <c r="Y1108" s="795"/>
    </row>
    <row r="1109" spans="4:29">
      <c r="D1109" s="9"/>
      <c r="E1109" s="788"/>
      <c r="F1109" s="788"/>
      <c r="G1109" s="788"/>
      <c r="H1109" s="788"/>
      <c r="I1109" s="788"/>
      <c r="J1109" s="788"/>
      <c r="K1109" s="788"/>
      <c r="L1109" s="788"/>
      <c r="M1109" s="788"/>
      <c r="N1109" s="795"/>
      <c r="O1109" s="795"/>
      <c r="P1109" s="795"/>
      <c r="Q1109" s="795"/>
      <c r="R1109" s="795"/>
      <c r="S1109" s="795"/>
      <c r="T1109" s="795"/>
      <c r="U1109" s="795"/>
      <c r="V1109" s="795"/>
      <c r="W1109" s="795"/>
      <c r="X1109" s="795"/>
      <c r="Y1109" s="795"/>
    </row>
    <row r="1110" spans="4:29" hidden="1">
      <c r="D1110" s="9"/>
      <c r="E1110" s="788"/>
      <c r="F1110" s="788"/>
      <c r="G1110" s="788"/>
      <c r="H1110" s="788"/>
      <c r="I1110" s="788"/>
      <c r="J1110" s="788"/>
      <c r="K1110" s="788"/>
      <c r="L1110" s="788"/>
      <c r="M1110" s="788"/>
      <c r="N1110" s="795"/>
      <c r="O1110" s="795"/>
      <c r="P1110" s="795"/>
      <c r="Q1110" s="795"/>
      <c r="R1110" s="795"/>
      <c r="S1110" s="795"/>
      <c r="T1110" s="795"/>
      <c r="U1110" s="795"/>
      <c r="V1110" s="795"/>
      <c r="W1110" s="795"/>
      <c r="X1110" s="795"/>
      <c r="Y1110" s="795"/>
    </row>
    <row r="1111" spans="4:29" hidden="1">
      <c r="D1111" s="9"/>
      <c r="E1111" s="788"/>
      <c r="F1111" s="788"/>
      <c r="G1111" s="788"/>
      <c r="H1111" s="788"/>
      <c r="I1111" s="788"/>
      <c r="J1111" s="788"/>
      <c r="K1111" s="788"/>
      <c r="L1111" s="788"/>
      <c r="M1111" s="788"/>
      <c r="N1111" s="795"/>
      <c r="O1111" s="795"/>
      <c r="P1111" s="795"/>
      <c r="Q1111" s="795"/>
      <c r="R1111" s="795"/>
      <c r="S1111" s="795"/>
      <c r="T1111" s="795"/>
      <c r="U1111" s="795"/>
      <c r="V1111" s="795"/>
      <c r="W1111" s="795"/>
      <c r="X1111" s="795"/>
      <c r="Y1111" s="795"/>
    </row>
    <row r="1112" spans="4:29" hidden="1">
      <c r="D1112" s="9"/>
      <c r="E1112" s="788"/>
      <c r="F1112" s="788"/>
      <c r="G1112" s="788"/>
      <c r="H1112" s="788"/>
      <c r="I1112" s="788"/>
      <c r="J1112" s="788"/>
      <c r="K1112" s="788"/>
      <c r="L1112" s="788"/>
      <c r="M1112" s="788"/>
      <c r="N1112" s="795"/>
      <c r="O1112" s="795"/>
      <c r="P1112" s="795"/>
      <c r="Q1112" s="795"/>
      <c r="R1112" s="795"/>
      <c r="S1112" s="795"/>
      <c r="T1112" s="795"/>
      <c r="U1112" s="795"/>
      <c r="V1112" s="795"/>
      <c r="W1112" s="795"/>
      <c r="X1112" s="795"/>
      <c r="Y1112" s="795"/>
    </row>
    <row r="1113" spans="4:29">
      <c r="D1113" s="9"/>
      <c r="E1113" s="788" t="s">
        <v>1130</v>
      </c>
      <c r="F1113" s="788"/>
      <c r="G1113" s="788"/>
      <c r="H1113" s="788"/>
      <c r="I1113" s="788"/>
      <c r="J1113" s="788"/>
      <c r="K1113" s="788"/>
      <c r="L1113" s="788"/>
      <c r="M1113" s="788"/>
      <c r="N1113" s="795"/>
      <c r="O1113" s="795"/>
      <c r="P1113" s="795"/>
      <c r="Q1113" s="795"/>
      <c r="R1113" s="795"/>
      <c r="S1113" s="795"/>
      <c r="T1113" s="795"/>
      <c r="U1113" s="795"/>
      <c r="V1113" s="795"/>
      <c r="W1113" s="795"/>
      <c r="X1113" s="795"/>
      <c r="Y1113" s="795"/>
    </row>
    <row r="1114" spans="4:29">
      <c r="D1114" s="9"/>
      <c r="E1114" s="788"/>
      <c r="F1114" s="788"/>
      <c r="G1114" s="788"/>
      <c r="H1114" s="788"/>
      <c r="I1114" s="788"/>
      <c r="J1114" s="788"/>
      <c r="K1114" s="788"/>
      <c r="L1114" s="788"/>
      <c r="M1114" s="788"/>
      <c r="N1114" s="795"/>
      <c r="O1114" s="795"/>
      <c r="P1114" s="795"/>
      <c r="Q1114" s="795"/>
      <c r="R1114" s="795"/>
      <c r="S1114" s="795"/>
      <c r="T1114" s="795"/>
      <c r="U1114" s="795"/>
      <c r="V1114" s="795"/>
      <c r="W1114" s="795"/>
      <c r="X1114" s="795"/>
      <c r="Y1114" s="795"/>
    </row>
    <row r="1115" spans="4:29" hidden="1">
      <c r="D1115" s="9"/>
      <c r="E1115" s="788"/>
      <c r="F1115" s="788"/>
      <c r="G1115" s="788"/>
      <c r="H1115" s="788"/>
      <c r="I1115" s="788"/>
      <c r="J1115" s="788"/>
      <c r="K1115" s="788"/>
      <c r="L1115" s="788"/>
      <c r="M1115" s="788"/>
      <c r="N1115" s="795"/>
      <c r="O1115" s="795"/>
      <c r="P1115" s="795"/>
      <c r="Q1115" s="795"/>
      <c r="R1115" s="795"/>
      <c r="S1115" s="795"/>
      <c r="T1115" s="795"/>
      <c r="U1115" s="795"/>
      <c r="V1115" s="795"/>
      <c r="W1115" s="795"/>
      <c r="X1115" s="795"/>
      <c r="Y1115" s="795"/>
    </row>
    <row r="1116" spans="4:29" hidden="1">
      <c r="D1116" s="9"/>
      <c r="E1116" s="788"/>
      <c r="F1116" s="788"/>
      <c r="G1116" s="788"/>
      <c r="H1116" s="788"/>
      <c r="I1116" s="788"/>
      <c r="J1116" s="788"/>
      <c r="K1116" s="788"/>
      <c r="L1116" s="788"/>
      <c r="M1116" s="788"/>
      <c r="N1116" s="795"/>
      <c r="O1116" s="795"/>
      <c r="P1116" s="795"/>
      <c r="Q1116" s="795"/>
      <c r="R1116" s="795"/>
      <c r="S1116" s="795"/>
      <c r="T1116" s="795"/>
      <c r="U1116" s="795"/>
      <c r="V1116" s="795"/>
      <c r="W1116" s="795"/>
      <c r="X1116" s="795"/>
      <c r="Y1116" s="795"/>
    </row>
    <row r="1117" spans="4:29">
      <c r="D1117" s="9"/>
      <c r="E1117" s="794" t="s">
        <v>1131</v>
      </c>
      <c r="F1117" s="794"/>
      <c r="G1117" s="794"/>
      <c r="H1117" s="794"/>
      <c r="I1117" s="794"/>
      <c r="J1117" s="794"/>
      <c r="K1117" s="794"/>
      <c r="L1117" s="794"/>
      <c r="M1117" s="794"/>
      <c r="N1117" s="796"/>
      <c r="O1117" s="796"/>
      <c r="P1117" s="796"/>
      <c r="Q1117" s="796"/>
      <c r="R1117" s="796"/>
      <c r="S1117" s="796"/>
      <c r="T1117" s="796"/>
      <c r="U1117" s="796">
        <f>SUM(U1105:Y1116)</f>
        <v>6389200</v>
      </c>
      <c r="V1117" s="796"/>
      <c r="W1117" s="796"/>
      <c r="X1117" s="796"/>
      <c r="Y1117" s="796"/>
    </row>
    <row r="1118" spans="4:29">
      <c r="D1118" s="513"/>
      <c r="E1118" s="791"/>
      <c r="F1118" s="791"/>
      <c r="G1118" s="791"/>
      <c r="H1118" s="791"/>
      <c r="I1118" s="791"/>
      <c r="J1118" s="791"/>
      <c r="K1118" s="791"/>
      <c r="L1118" s="791"/>
      <c r="M1118" s="791"/>
      <c r="N1118" s="791"/>
      <c r="O1118" s="791"/>
      <c r="P1118" s="791"/>
      <c r="Q1118" s="791"/>
      <c r="R1118" s="791"/>
      <c r="S1118" s="791"/>
      <c r="T1118" s="791"/>
      <c r="U1118" s="791"/>
      <c r="V1118" s="791"/>
      <c r="W1118" s="791"/>
      <c r="X1118" s="791"/>
      <c r="Y1118" s="791"/>
    </row>
    <row r="1119" spans="4:29" ht="42" customHeight="1">
      <c r="D1119" s="9"/>
      <c r="E1119" s="837" t="s">
        <v>1508</v>
      </c>
      <c r="F1119" s="838"/>
      <c r="G1119" s="838"/>
      <c r="H1119" s="838"/>
      <c r="I1119" s="838"/>
      <c r="J1119" s="838"/>
      <c r="K1119" s="838"/>
      <c r="L1119" s="838"/>
      <c r="M1119" s="838"/>
      <c r="N1119" s="1064" t="s">
        <v>1654</v>
      </c>
      <c r="O1119" s="1064"/>
      <c r="P1119" s="1064"/>
      <c r="Q1119" s="1064"/>
      <c r="R1119" s="1064"/>
      <c r="S1119" s="1064"/>
      <c r="T1119" s="1064"/>
      <c r="U1119" s="1064"/>
      <c r="V1119" s="1064"/>
      <c r="W1119" s="1064"/>
      <c r="X1119" s="1064"/>
      <c r="Y1119" s="1065"/>
      <c r="AC1119" s="210" t="s">
        <v>1653</v>
      </c>
    </row>
    <row r="1120" spans="4:29">
      <c r="D1120" s="9"/>
      <c r="E1120" s="788" t="s">
        <v>1128</v>
      </c>
      <c r="F1120" s="788"/>
      <c r="G1120" s="788"/>
      <c r="H1120" s="788"/>
      <c r="I1120" s="788"/>
      <c r="J1120" s="788"/>
      <c r="K1120" s="788"/>
      <c r="L1120" s="788"/>
      <c r="M1120" s="788"/>
      <c r="N1120" s="788"/>
      <c r="O1120" s="788"/>
      <c r="P1120" s="788"/>
      <c r="Q1120" s="788"/>
      <c r="R1120" s="788"/>
      <c r="S1120" s="788"/>
      <c r="T1120" s="788"/>
      <c r="U1120" s="788"/>
      <c r="V1120" s="788"/>
      <c r="W1120" s="788"/>
      <c r="X1120" s="788"/>
      <c r="Y1120" s="788"/>
    </row>
    <row r="1121" spans="4:25">
      <c r="D1121" s="9"/>
      <c r="E1121" s="816" t="e">
        <f>+'2.Capex Details'!#REF!</f>
        <v>#REF!</v>
      </c>
      <c r="F1121" s="816"/>
      <c r="G1121" s="816"/>
      <c r="H1121" s="816"/>
      <c r="I1121" s="816"/>
      <c r="J1121" s="816"/>
      <c r="K1121" s="788"/>
      <c r="L1121" s="788"/>
      <c r="M1121" s="788"/>
      <c r="N1121" s="795" t="e">
        <f>+'2.Capex Details'!#REF!</f>
        <v>#REF!</v>
      </c>
      <c r="O1121" s="795"/>
      <c r="P1121" s="795"/>
      <c r="Q1121" s="795" t="e">
        <f>+'2.Capex Details'!#REF!</f>
        <v>#REF!</v>
      </c>
      <c r="R1121" s="795"/>
      <c r="S1121" s="795"/>
      <c r="T1121" s="795"/>
      <c r="U1121" s="795" t="e">
        <f>+'2.Capex Details'!#REF!</f>
        <v>#REF!</v>
      </c>
      <c r="V1121" s="795"/>
      <c r="W1121" s="795"/>
      <c r="X1121" s="795"/>
      <c r="Y1121" s="795"/>
    </row>
    <row r="1122" spans="4:25">
      <c r="D1122" s="9"/>
      <c r="E1122" s="788"/>
      <c r="F1122" s="788"/>
      <c r="G1122" s="788"/>
      <c r="H1122" s="788"/>
      <c r="I1122" s="788"/>
      <c r="J1122" s="788"/>
      <c r="K1122" s="788"/>
      <c r="L1122" s="788"/>
      <c r="M1122" s="788"/>
      <c r="N1122" s="795"/>
      <c r="O1122" s="795"/>
      <c r="P1122" s="795"/>
      <c r="Q1122" s="795"/>
      <c r="R1122" s="795"/>
      <c r="S1122" s="795"/>
      <c r="T1122" s="795"/>
      <c r="U1122" s="795"/>
      <c r="V1122" s="795"/>
      <c r="W1122" s="795"/>
      <c r="X1122" s="795"/>
      <c r="Y1122" s="795"/>
    </row>
    <row r="1123" spans="4:25">
      <c r="D1123" s="9"/>
      <c r="E1123" s="788" t="s">
        <v>1129</v>
      </c>
      <c r="F1123" s="788"/>
      <c r="G1123" s="788"/>
      <c r="H1123" s="788"/>
      <c r="I1123" s="788"/>
      <c r="J1123" s="788"/>
      <c r="K1123" s="788"/>
      <c r="L1123" s="788"/>
      <c r="M1123" s="788"/>
      <c r="N1123" s="795"/>
      <c r="O1123" s="795"/>
      <c r="P1123" s="795"/>
      <c r="Q1123" s="795"/>
      <c r="R1123" s="795"/>
      <c r="S1123" s="795"/>
      <c r="T1123" s="795"/>
      <c r="U1123" s="795"/>
      <c r="V1123" s="795"/>
      <c r="W1123" s="795"/>
      <c r="X1123" s="795"/>
      <c r="Y1123" s="795"/>
    </row>
    <row r="1124" spans="4:25">
      <c r="D1124" s="9"/>
      <c r="E1124" s="816" t="e">
        <f>+'2.Capex Details'!#REF!</f>
        <v>#REF!</v>
      </c>
      <c r="F1124" s="816"/>
      <c r="G1124" s="816"/>
      <c r="H1124" s="816"/>
      <c r="I1124" s="816"/>
      <c r="J1124" s="816"/>
      <c r="K1124" s="788"/>
      <c r="L1124" s="788"/>
      <c r="M1124" s="788"/>
      <c r="N1124" s="795" t="e">
        <f>+'2.Capex Details'!#REF!</f>
        <v>#REF!</v>
      </c>
      <c r="O1124" s="795"/>
      <c r="P1124" s="795"/>
      <c r="Q1124" s="795" t="e">
        <f>+'2.Capex Details'!#REF!</f>
        <v>#REF!</v>
      </c>
      <c r="R1124" s="795"/>
      <c r="S1124" s="795"/>
      <c r="T1124" s="795"/>
      <c r="U1124" s="795" t="e">
        <f>+'2.Capex Details'!#REF!</f>
        <v>#REF!</v>
      </c>
      <c r="V1124" s="795"/>
      <c r="W1124" s="795"/>
      <c r="X1124" s="795"/>
      <c r="Y1124" s="795"/>
    </row>
    <row r="1125" spans="4:25">
      <c r="D1125" s="9"/>
      <c r="E1125" s="816" t="e">
        <f>+'2.Capex Details'!#REF!</f>
        <v>#REF!</v>
      </c>
      <c r="F1125" s="816"/>
      <c r="G1125" s="816"/>
      <c r="H1125" s="816"/>
      <c r="I1125" s="816"/>
      <c r="J1125" s="816"/>
      <c r="K1125" s="788"/>
      <c r="L1125" s="788"/>
      <c r="M1125" s="788"/>
      <c r="N1125" s="795" t="e">
        <f>+'2.Capex Details'!#REF!</f>
        <v>#REF!</v>
      </c>
      <c r="O1125" s="795"/>
      <c r="P1125" s="795"/>
      <c r="Q1125" s="795" t="e">
        <f>+'2.Capex Details'!#REF!</f>
        <v>#REF!</v>
      </c>
      <c r="R1125" s="795"/>
      <c r="S1125" s="795"/>
      <c r="T1125" s="795"/>
      <c r="U1125" s="795" t="e">
        <f>+'2.Capex Details'!#REF!</f>
        <v>#REF!</v>
      </c>
      <c r="V1125" s="795"/>
      <c r="W1125" s="795"/>
      <c r="X1125" s="795"/>
      <c r="Y1125" s="795"/>
    </row>
    <row r="1126" spans="4:25">
      <c r="D1126" s="9"/>
      <c r="E1126" s="816" t="e">
        <f>+'2.Capex Details'!#REF!</f>
        <v>#REF!</v>
      </c>
      <c r="F1126" s="816"/>
      <c r="G1126" s="816"/>
      <c r="H1126" s="816"/>
      <c r="I1126" s="816"/>
      <c r="J1126" s="816"/>
      <c r="K1126" s="788"/>
      <c r="L1126" s="788"/>
      <c r="M1126" s="788"/>
      <c r="N1126" s="795" t="e">
        <f>+'2.Capex Details'!#REF!</f>
        <v>#REF!</v>
      </c>
      <c r="O1126" s="795"/>
      <c r="P1126" s="795"/>
      <c r="Q1126" s="795" t="e">
        <f>+'2.Capex Details'!#REF!</f>
        <v>#REF!</v>
      </c>
      <c r="R1126" s="795"/>
      <c r="S1126" s="795"/>
      <c r="T1126" s="795"/>
      <c r="U1126" s="795" t="e">
        <f>+'2.Capex Details'!#REF!</f>
        <v>#REF!</v>
      </c>
      <c r="V1126" s="795"/>
      <c r="W1126" s="795"/>
      <c r="X1126" s="795"/>
      <c r="Y1126" s="795"/>
    </row>
    <row r="1127" spans="4:25">
      <c r="D1127" s="9"/>
      <c r="E1127" s="816" t="e">
        <f>+'2.Capex Details'!#REF!</f>
        <v>#REF!</v>
      </c>
      <c r="F1127" s="816"/>
      <c r="G1127" s="816"/>
      <c r="H1127" s="816"/>
      <c r="I1127" s="816"/>
      <c r="J1127" s="816"/>
      <c r="K1127" s="788"/>
      <c r="L1127" s="788"/>
      <c r="M1127" s="788"/>
      <c r="N1127" s="795" t="e">
        <f>+'2.Capex Details'!#REF!</f>
        <v>#REF!</v>
      </c>
      <c r="O1127" s="795"/>
      <c r="P1127" s="795"/>
      <c r="Q1127" s="795" t="e">
        <f>+'2.Capex Details'!#REF!</f>
        <v>#REF!</v>
      </c>
      <c r="R1127" s="795"/>
      <c r="S1127" s="795"/>
      <c r="T1127" s="795"/>
      <c r="U1127" s="795" t="e">
        <f>+'2.Capex Details'!#REF!</f>
        <v>#REF!</v>
      </c>
      <c r="V1127" s="795"/>
      <c r="W1127" s="795"/>
      <c r="X1127" s="795"/>
      <c r="Y1127" s="795"/>
    </row>
    <row r="1128" spans="4:25">
      <c r="D1128" s="9"/>
      <c r="E1128" s="816" t="e">
        <f>+'2.Capex Details'!#REF!</f>
        <v>#REF!</v>
      </c>
      <c r="F1128" s="816"/>
      <c r="G1128" s="816"/>
      <c r="H1128" s="816"/>
      <c r="I1128" s="816"/>
      <c r="J1128" s="816"/>
      <c r="K1128" s="788"/>
      <c r="L1128" s="788"/>
      <c r="M1128" s="788"/>
      <c r="N1128" s="795" t="e">
        <f>+'2.Capex Details'!#REF!</f>
        <v>#REF!</v>
      </c>
      <c r="O1128" s="795"/>
      <c r="P1128" s="795"/>
      <c r="Q1128" s="795" t="e">
        <f>+'2.Capex Details'!#REF!</f>
        <v>#REF!</v>
      </c>
      <c r="R1128" s="795"/>
      <c r="S1128" s="795"/>
      <c r="T1128" s="795"/>
      <c r="U1128" s="795" t="e">
        <f>+'2.Capex Details'!#REF!</f>
        <v>#REF!</v>
      </c>
      <c r="V1128" s="795"/>
      <c r="W1128" s="795"/>
      <c r="X1128" s="795"/>
      <c r="Y1128" s="795"/>
    </row>
    <row r="1129" spans="4:25">
      <c r="D1129" s="9"/>
      <c r="E1129" s="816" t="e">
        <f>+'2.Capex Details'!#REF!</f>
        <v>#REF!</v>
      </c>
      <c r="F1129" s="816"/>
      <c r="G1129" s="816"/>
      <c r="H1129" s="816"/>
      <c r="I1129" s="816"/>
      <c r="J1129" s="816"/>
      <c r="K1129" s="788"/>
      <c r="L1129" s="788"/>
      <c r="M1129" s="788"/>
      <c r="N1129" s="795" t="e">
        <f>+'2.Capex Details'!#REF!</f>
        <v>#REF!</v>
      </c>
      <c r="O1129" s="795"/>
      <c r="P1129" s="795"/>
      <c r="Q1129" s="795" t="e">
        <f>+'2.Capex Details'!#REF!</f>
        <v>#REF!</v>
      </c>
      <c r="R1129" s="795"/>
      <c r="S1129" s="795"/>
      <c r="T1129" s="795"/>
      <c r="U1129" s="795" t="e">
        <f>+'2.Capex Details'!#REF!</f>
        <v>#REF!</v>
      </c>
      <c r="V1129" s="795"/>
      <c r="W1129" s="795"/>
      <c r="X1129" s="795"/>
      <c r="Y1129" s="795"/>
    </row>
    <row r="1130" spans="4:25">
      <c r="D1130" s="9"/>
      <c r="E1130" s="816" t="e">
        <f>+'2.Capex Details'!#REF!</f>
        <v>#REF!</v>
      </c>
      <c r="F1130" s="816"/>
      <c r="G1130" s="816"/>
      <c r="H1130" s="816"/>
      <c r="I1130" s="816"/>
      <c r="J1130" s="816"/>
      <c r="K1130" s="788"/>
      <c r="L1130" s="788"/>
      <c r="M1130" s="788"/>
      <c r="N1130" s="795" t="e">
        <f>+'2.Capex Details'!#REF!</f>
        <v>#REF!</v>
      </c>
      <c r="O1130" s="795"/>
      <c r="P1130" s="795"/>
      <c r="Q1130" s="795" t="e">
        <f>+'2.Capex Details'!#REF!</f>
        <v>#REF!</v>
      </c>
      <c r="R1130" s="795"/>
      <c r="S1130" s="795"/>
      <c r="T1130" s="795"/>
      <c r="U1130" s="795" t="e">
        <f>+'2.Capex Details'!#REF!</f>
        <v>#REF!</v>
      </c>
      <c r="V1130" s="795"/>
      <c r="W1130" s="795"/>
      <c r="X1130" s="795"/>
      <c r="Y1130" s="795"/>
    </row>
    <row r="1131" spans="4:25">
      <c r="D1131" s="9"/>
      <c r="E1131" s="816" t="e">
        <f>+'2.Capex Details'!#REF!</f>
        <v>#REF!</v>
      </c>
      <c r="F1131" s="816"/>
      <c r="G1131" s="816"/>
      <c r="H1131" s="816"/>
      <c r="I1131" s="816"/>
      <c r="J1131" s="816"/>
      <c r="K1131" s="788"/>
      <c r="L1131" s="788"/>
      <c r="M1131" s="788"/>
      <c r="N1131" s="795" t="e">
        <f>+'2.Capex Details'!#REF!</f>
        <v>#REF!</v>
      </c>
      <c r="O1131" s="795"/>
      <c r="P1131" s="795"/>
      <c r="Q1131" s="795" t="e">
        <f>+'2.Capex Details'!#REF!</f>
        <v>#REF!</v>
      </c>
      <c r="R1131" s="795"/>
      <c r="S1131" s="795"/>
      <c r="T1131" s="795"/>
      <c r="U1131" s="795" t="e">
        <f>+'2.Capex Details'!#REF!</f>
        <v>#REF!</v>
      </c>
      <c r="V1131" s="795"/>
      <c r="W1131" s="795"/>
      <c r="X1131" s="795"/>
      <c r="Y1131" s="795"/>
    </row>
    <row r="1132" spans="4:25">
      <c r="D1132" s="9"/>
      <c r="E1132" s="816" t="e">
        <f>+'2.Capex Details'!#REF!</f>
        <v>#REF!</v>
      </c>
      <c r="F1132" s="816"/>
      <c r="G1132" s="816"/>
      <c r="H1132" s="816"/>
      <c r="I1132" s="816"/>
      <c r="J1132" s="816"/>
      <c r="K1132" s="788"/>
      <c r="L1132" s="788"/>
      <c r="M1132" s="788"/>
      <c r="N1132" s="795" t="e">
        <f>+'2.Capex Details'!#REF!</f>
        <v>#REF!</v>
      </c>
      <c r="O1132" s="795"/>
      <c r="P1132" s="795"/>
      <c r="Q1132" s="795" t="e">
        <f>+'2.Capex Details'!#REF!</f>
        <v>#REF!</v>
      </c>
      <c r="R1132" s="795"/>
      <c r="S1132" s="795"/>
      <c r="T1132" s="795"/>
      <c r="U1132" s="795" t="e">
        <f>+'2.Capex Details'!#REF!</f>
        <v>#REF!</v>
      </c>
      <c r="V1132" s="795"/>
      <c r="W1132" s="795"/>
      <c r="X1132" s="795"/>
      <c r="Y1132" s="795"/>
    </row>
    <row r="1133" spans="4:25">
      <c r="D1133" s="9"/>
      <c r="E1133" s="816" t="e">
        <f>+'2.Capex Details'!#REF!</f>
        <v>#REF!</v>
      </c>
      <c r="F1133" s="816"/>
      <c r="G1133" s="816"/>
      <c r="H1133" s="816"/>
      <c r="I1133" s="816"/>
      <c r="J1133" s="816"/>
      <c r="K1133" s="788"/>
      <c r="L1133" s="788"/>
      <c r="M1133" s="788"/>
      <c r="N1133" s="795" t="e">
        <f>+'2.Capex Details'!#REF!</f>
        <v>#REF!</v>
      </c>
      <c r="O1133" s="795"/>
      <c r="P1133" s="795"/>
      <c r="Q1133" s="795" t="e">
        <f>+'2.Capex Details'!#REF!</f>
        <v>#REF!</v>
      </c>
      <c r="R1133" s="795"/>
      <c r="S1133" s="795"/>
      <c r="T1133" s="795"/>
      <c r="U1133" s="795" t="e">
        <f>+'2.Capex Details'!#REF!</f>
        <v>#REF!</v>
      </c>
      <c r="V1133" s="795"/>
      <c r="W1133" s="795"/>
      <c r="X1133" s="795"/>
      <c r="Y1133" s="795"/>
    </row>
    <row r="1134" spans="4:25">
      <c r="D1134" s="9"/>
      <c r="E1134" s="816" t="e">
        <f>+'2.Capex Details'!#REF!</f>
        <v>#REF!</v>
      </c>
      <c r="F1134" s="816"/>
      <c r="G1134" s="816"/>
      <c r="H1134" s="816"/>
      <c r="I1134" s="816"/>
      <c r="J1134" s="816"/>
      <c r="K1134" s="788"/>
      <c r="L1134" s="788"/>
      <c r="M1134" s="788"/>
      <c r="N1134" s="795" t="e">
        <f>+'2.Capex Details'!#REF!</f>
        <v>#REF!</v>
      </c>
      <c r="O1134" s="795"/>
      <c r="P1134" s="795"/>
      <c r="Q1134" s="795" t="e">
        <f>+'2.Capex Details'!#REF!</f>
        <v>#REF!</v>
      </c>
      <c r="R1134" s="795"/>
      <c r="S1134" s="795"/>
      <c r="T1134" s="795"/>
      <c r="U1134" s="795" t="e">
        <f>+'2.Capex Details'!#REF!</f>
        <v>#REF!</v>
      </c>
      <c r="V1134" s="795"/>
      <c r="W1134" s="795"/>
      <c r="X1134" s="795"/>
      <c r="Y1134" s="795"/>
    </row>
    <row r="1135" spans="4:25">
      <c r="D1135" s="9"/>
      <c r="E1135" s="816" t="e">
        <f>+'2.Capex Details'!#REF!</f>
        <v>#REF!</v>
      </c>
      <c r="F1135" s="816"/>
      <c r="G1135" s="816"/>
      <c r="H1135" s="816"/>
      <c r="I1135" s="816"/>
      <c r="J1135" s="816"/>
      <c r="K1135" s="788"/>
      <c r="L1135" s="788"/>
      <c r="M1135" s="788"/>
      <c r="N1135" s="795" t="e">
        <f>+'2.Capex Details'!#REF!</f>
        <v>#REF!</v>
      </c>
      <c r="O1135" s="795"/>
      <c r="P1135" s="795"/>
      <c r="Q1135" s="795" t="e">
        <f>+'2.Capex Details'!#REF!</f>
        <v>#REF!</v>
      </c>
      <c r="R1135" s="795"/>
      <c r="S1135" s="795"/>
      <c r="T1135" s="795"/>
      <c r="U1135" s="795" t="e">
        <f>+'2.Capex Details'!#REF!</f>
        <v>#REF!</v>
      </c>
      <c r="V1135" s="795"/>
      <c r="W1135" s="795"/>
      <c r="X1135" s="795"/>
      <c r="Y1135" s="795"/>
    </row>
    <row r="1136" spans="4:25">
      <c r="D1136" s="9"/>
      <c r="E1136" s="788" t="e">
        <f>+'2.Capex Details'!#REF!</f>
        <v>#REF!</v>
      </c>
      <c r="F1136" s="788"/>
      <c r="G1136" s="788"/>
      <c r="H1136" s="788"/>
      <c r="I1136" s="788"/>
      <c r="J1136" s="788"/>
      <c r="K1136" s="788"/>
      <c r="L1136" s="788"/>
      <c r="M1136" s="788"/>
      <c r="N1136" s="795" t="e">
        <f>+'2.Capex Details'!#REF!</f>
        <v>#REF!</v>
      </c>
      <c r="O1136" s="795"/>
      <c r="P1136" s="795"/>
      <c r="Q1136" s="795" t="e">
        <f>+'2.Capex Details'!#REF!</f>
        <v>#REF!</v>
      </c>
      <c r="R1136" s="795"/>
      <c r="S1136" s="795"/>
      <c r="T1136" s="795"/>
      <c r="U1136" s="795" t="e">
        <f>+'2.Capex Details'!#REF!</f>
        <v>#REF!</v>
      </c>
      <c r="V1136" s="795"/>
      <c r="W1136" s="795"/>
      <c r="X1136" s="795"/>
      <c r="Y1136" s="795"/>
    </row>
    <row r="1137" spans="4:25" hidden="1">
      <c r="D1137" s="9"/>
      <c r="E1137" s="788"/>
      <c r="F1137" s="788"/>
      <c r="G1137" s="788"/>
      <c r="H1137" s="788"/>
      <c r="I1137" s="788"/>
      <c r="J1137" s="788"/>
      <c r="K1137" s="788"/>
      <c r="L1137" s="788"/>
      <c r="M1137" s="788"/>
      <c r="N1137" s="795"/>
      <c r="O1137" s="795"/>
      <c r="P1137" s="795"/>
      <c r="Q1137" s="795"/>
      <c r="R1137" s="795"/>
      <c r="S1137" s="795"/>
      <c r="T1137" s="795"/>
      <c r="U1137" s="795"/>
      <c r="V1137" s="795"/>
      <c r="W1137" s="795"/>
      <c r="X1137" s="795"/>
      <c r="Y1137" s="795"/>
    </row>
    <row r="1138" spans="4:25" hidden="1">
      <c r="D1138" s="9"/>
      <c r="E1138" s="788"/>
      <c r="F1138" s="788"/>
      <c r="G1138" s="788"/>
      <c r="H1138" s="788"/>
      <c r="I1138" s="788"/>
      <c r="J1138" s="788"/>
      <c r="K1138" s="788"/>
      <c r="L1138" s="788"/>
      <c r="M1138" s="788"/>
      <c r="N1138" s="795"/>
      <c r="O1138" s="795"/>
      <c r="P1138" s="795"/>
      <c r="Q1138" s="795"/>
      <c r="R1138" s="795"/>
      <c r="S1138" s="795"/>
      <c r="T1138" s="795"/>
      <c r="U1138" s="795"/>
      <c r="V1138" s="795"/>
      <c r="W1138" s="795"/>
      <c r="X1138" s="795"/>
      <c r="Y1138" s="795"/>
    </row>
    <row r="1139" spans="4:25" ht="7.5" customHeight="1">
      <c r="D1139" s="9"/>
      <c r="E1139" s="788"/>
      <c r="F1139" s="788"/>
      <c r="G1139" s="788"/>
      <c r="H1139" s="788"/>
      <c r="I1139" s="788"/>
      <c r="J1139" s="788"/>
      <c r="K1139" s="788"/>
      <c r="L1139" s="788"/>
      <c r="M1139" s="788"/>
      <c r="N1139" s="795"/>
      <c r="O1139" s="795"/>
      <c r="P1139" s="795"/>
      <c r="Q1139" s="795"/>
      <c r="R1139" s="795"/>
      <c r="S1139" s="795"/>
      <c r="T1139" s="795"/>
      <c r="U1139" s="795"/>
      <c r="V1139" s="795"/>
      <c r="W1139" s="795"/>
      <c r="X1139" s="795"/>
      <c r="Y1139" s="795"/>
    </row>
    <row r="1140" spans="4:25">
      <c r="D1140" s="9"/>
      <c r="E1140" s="788" t="str">
        <f>+'2.Capex Details'!C47</f>
        <v>Weighing Bridge</v>
      </c>
      <c r="F1140" s="788"/>
      <c r="G1140" s="788"/>
      <c r="H1140" s="788"/>
      <c r="I1140" s="788"/>
      <c r="J1140" s="788"/>
      <c r="K1140" s="788"/>
      <c r="L1140" s="788"/>
      <c r="M1140" s="788"/>
      <c r="N1140" s="795"/>
      <c r="O1140" s="795"/>
      <c r="P1140" s="795"/>
      <c r="Q1140" s="795"/>
      <c r="R1140" s="795"/>
      <c r="S1140" s="795"/>
      <c r="T1140" s="795"/>
      <c r="U1140" s="795"/>
      <c r="V1140" s="795"/>
      <c r="W1140" s="795"/>
      <c r="X1140" s="795"/>
      <c r="Y1140" s="795"/>
    </row>
    <row r="1141" spans="4:25">
      <c r="D1141" s="9"/>
      <c r="E1141" s="788" t="str">
        <f>+'2.Capex Details'!C48</f>
        <v>60 MT Weighing Bridge</v>
      </c>
      <c r="F1141" s="788"/>
      <c r="G1141" s="788"/>
      <c r="H1141" s="788"/>
      <c r="I1141" s="788"/>
      <c r="J1141" s="788"/>
      <c r="K1141" s="788"/>
      <c r="L1141" s="788"/>
      <c r="M1141" s="788"/>
      <c r="N1141" s="795">
        <f>+'2.Capex Details'!F48</f>
        <v>945000</v>
      </c>
      <c r="O1141" s="795"/>
      <c r="P1141" s="795"/>
      <c r="Q1141" s="812">
        <f>+'2.Capex Details'!E48</f>
        <v>1</v>
      </c>
      <c r="R1141" s="813"/>
      <c r="S1141" s="813"/>
      <c r="T1141" s="814"/>
      <c r="U1141" s="795">
        <f>+'2.Capex Details'!G48</f>
        <v>945000</v>
      </c>
      <c r="V1141" s="795"/>
      <c r="W1141" s="795"/>
      <c r="X1141" s="795"/>
      <c r="Y1141" s="795"/>
    </row>
    <row r="1142" spans="4:25">
      <c r="D1142" s="9"/>
      <c r="E1142" s="788" t="str">
        <f>+'2.Capex Details'!C49</f>
        <v>GST @ 18%</v>
      </c>
      <c r="F1142" s="788"/>
      <c r="G1142" s="788"/>
      <c r="H1142" s="788"/>
      <c r="I1142" s="788"/>
      <c r="J1142" s="788"/>
      <c r="K1142" s="788"/>
      <c r="L1142" s="788"/>
      <c r="M1142" s="788"/>
      <c r="N1142" s="795">
        <f>+'2.Capex Details'!F49</f>
        <v>0</v>
      </c>
      <c r="O1142" s="795"/>
      <c r="P1142" s="795"/>
      <c r="Q1142" s="812">
        <f>+'2.Capex Details'!E49</f>
        <v>0</v>
      </c>
      <c r="R1142" s="813"/>
      <c r="S1142" s="813"/>
      <c r="T1142" s="814"/>
      <c r="U1142" s="795">
        <f>+'2.Capex Details'!G49</f>
        <v>170100</v>
      </c>
      <c r="V1142" s="795"/>
      <c r="W1142" s="795"/>
      <c r="X1142" s="795"/>
      <c r="Y1142" s="795"/>
    </row>
    <row r="1143" spans="4:25">
      <c r="D1143" s="9"/>
      <c r="E1143" s="788">
        <f>+'2.Capex Details'!C50</f>
        <v>0</v>
      </c>
      <c r="F1143" s="788"/>
      <c r="G1143" s="788"/>
      <c r="H1143" s="788"/>
      <c r="I1143" s="788"/>
      <c r="J1143" s="788"/>
      <c r="K1143" s="788"/>
      <c r="L1143" s="788"/>
      <c r="M1143" s="788"/>
      <c r="N1143" s="795">
        <f>+'2.Capex Details'!F50</f>
        <v>0</v>
      </c>
      <c r="O1143" s="795"/>
      <c r="P1143" s="795"/>
      <c r="Q1143" s="812">
        <f>+'2.Capex Details'!E50</f>
        <v>0</v>
      </c>
      <c r="R1143" s="813"/>
      <c r="S1143" s="813"/>
      <c r="T1143" s="814"/>
      <c r="U1143" s="795">
        <f>+'2.Capex Details'!G50</f>
        <v>1115100</v>
      </c>
      <c r="V1143" s="795"/>
      <c r="W1143" s="795"/>
      <c r="X1143" s="795"/>
      <c r="Y1143" s="795"/>
    </row>
    <row r="1144" spans="4:25">
      <c r="D1144" s="9"/>
      <c r="E1144" s="788">
        <f>+'2.Capex Details'!C51</f>
        <v>0</v>
      </c>
      <c r="F1144" s="788"/>
      <c r="G1144" s="788"/>
      <c r="H1144" s="788"/>
      <c r="I1144" s="788"/>
      <c r="J1144" s="788"/>
      <c r="K1144" s="788"/>
      <c r="L1144" s="788"/>
      <c r="M1144" s="788"/>
      <c r="N1144" s="795">
        <f>+'2.Capex Details'!F51</f>
        <v>0</v>
      </c>
      <c r="O1144" s="795"/>
      <c r="P1144" s="795"/>
      <c r="Q1144" s="812">
        <f>+'2.Capex Details'!E51</f>
        <v>0</v>
      </c>
      <c r="R1144" s="813"/>
      <c r="S1144" s="813"/>
      <c r="T1144" s="814"/>
      <c r="U1144" s="795">
        <f>+'2.Capex Details'!G51</f>
        <v>0</v>
      </c>
      <c r="V1144" s="795"/>
      <c r="W1144" s="795"/>
      <c r="X1144" s="795"/>
      <c r="Y1144" s="795"/>
    </row>
    <row r="1145" spans="4:25">
      <c r="D1145" s="9"/>
      <c r="E1145" s="788" t="str">
        <f>+'2.Capex Details'!C52</f>
        <v>Electricity Connection</v>
      </c>
      <c r="F1145" s="788"/>
      <c r="G1145" s="788"/>
      <c r="H1145" s="788"/>
      <c r="I1145" s="788"/>
      <c r="J1145" s="788"/>
      <c r="K1145" s="788"/>
      <c r="L1145" s="788"/>
      <c r="M1145" s="788"/>
      <c r="N1145" s="795">
        <f>+'2.Capex Details'!F52</f>
        <v>0</v>
      </c>
      <c r="O1145" s="795"/>
      <c r="P1145" s="795"/>
      <c r="Q1145" s="812">
        <f>+'2.Capex Details'!E52</f>
        <v>0</v>
      </c>
      <c r="R1145" s="813"/>
      <c r="S1145" s="813"/>
      <c r="T1145" s="814"/>
      <c r="U1145" s="795">
        <f>+'2.Capex Details'!G52</f>
        <v>0</v>
      </c>
      <c r="V1145" s="795"/>
      <c r="W1145" s="795"/>
      <c r="X1145" s="795"/>
      <c r="Y1145" s="795"/>
    </row>
    <row r="1146" spans="4:25">
      <c r="D1146" s="9"/>
      <c r="E1146" s="788" t="str">
        <f>+'2.Capex Details'!C53</f>
        <v>HT Line</v>
      </c>
      <c r="F1146" s="788"/>
      <c r="G1146" s="788"/>
      <c r="H1146" s="788"/>
      <c r="I1146" s="788"/>
      <c r="J1146" s="788"/>
      <c r="K1146" s="788"/>
      <c r="L1146" s="788"/>
      <c r="M1146" s="788"/>
      <c r="N1146" s="795">
        <f>+'2.Capex Details'!F53</f>
        <v>93754</v>
      </c>
      <c r="O1146" s="795"/>
      <c r="P1146" s="795"/>
      <c r="Q1146" s="812">
        <f>+'2.Capex Details'!E53</f>
        <v>1</v>
      </c>
      <c r="R1146" s="813"/>
      <c r="S1146" s="813"/>
      <c r="T1146" s="814"/>
      <c r="U1146" s="795">
        <f>+'2.Capex Details'!G53</f>
        <v>93754</v>
      </c>
      <c r="V1146" s="795"/>
      <c r="W1146" s="795"/>
      <c r="X1146" s="795"/>
      <c r="Y1146" s="795"/>
    </row>
    <row r="1147" spans="4:25">
      <c r="D1147" s="9"/>
      <c r="E1147" s="788" t="str">
        <f>+'2.Capex Details'!C54</f>
        <v>DTC 200 kva</v>
      </c>
      <c r="F1147" s="788"/>
      <c r="G1147" s="788"/>
      <c r="H1147" s="788"/>
      <c r="I1147" s="788"/>
      <c r="J1147" s="788"/>
      <c r="K1147" s="788"/>
      <c r="L1147" s="788"/>
      <c r="M1147" s="788"/>
      <c r="N1147" s="795">
        <f>+'2.Capex Details'!F54</f>
        <v>404794.1</v>
      </c>
      <c r="O1147" s="795"/>
      <c r="P1147" s="795"/>
      <c r="Q1147" s="812">
        <f>+'2.Capex Details'!E54</f>
        <v>1</v>
      </c>
      <c r="R1147" s="813"/>
      <c r="S1147" s="813"/>
      <c r="T1147" s="814"/>
      <c r="U1147" s="795">
        <f>+'2.Capex Details'!G54</f>
        <v>404794.1</v>
      </c>
      <c r="V1147" s="795"/>
      <c r="W1147" s="795"/>
      <c r="X1147" s="795"/>
      <c r="Y1147" s="795"/>
    </row>
    <row r="1148" spans="4:25">
      <c r="D1148" s="9"/>
      <c r="E1148" s="788" t="str">
        <f>+'2.Capex Details'!C55</f>
        <v>LT Line 3P5W</v>
      </c>
      <c r="F1148" s="788"/>
      <c r="G1148" s="788"/>
      <c r="H1148" s="788"/>
      <c r="I1148" s="788"/>
      <c r="J1148" s="788"/>
      <c r="K1148" s="788"/>
      <c r="L1148" s="788"/>
      <c r="M1148" s="788"/>
      <c r="N1148" s="795">
        <f>+'2.Capex Details'!F55</f>
        <v>75650</v>
      </c>
      <c r="O1148" s="795"/>
      <c r="P1148" s="795"/>
      <c r="Q1148" s="812">
        <f>+'2.Capex Details'!E55</f>
        <v>1</v>
      </c>
      <c r="R1148" s="813"/>
      <c r="S1148" s="813"/>
      <c r="T1148" s="814"/>
      <c r="U1148" s="795">
        <f>+'2.Capex Details'!G55</f>
        <v>75650</v>
      </c>
      <c r="V1148" s="795"/>
      <c r="W1148" s="795"/>
      <c r="X1148" s="795"/>
      <c r="Y1148" s="795"/>
    </row>
    <row r="1149" spans="4:25">
      <c r="D1149" s="9"/>
      <c r="E1149" s="788" t="str">
        <f>+'2.Capex Details'!C56</f>
        <v>Other Expenses</v>
      </c>
      <c r="F1149" s="788"/>
      <c r="G1149" s="788"/>
      <c r="H1149" s="788"/>
      <c r="I1149" s="788"/>
      <c r="J1149" s="788"/>
      <c r="K1149" s="788"/>
      <c r="L1149" s="788"/>
      <c r="M1149" s="788"/>
      <c r="N1149" s="795">
        <f>+'2.Capex Details'!F56</f>
        <v>372934.86119999998</v>
      </c>
      <c r="O1149" s="795"/>
      <c r="P1149" s="795"/>
      <c r="Q1149" s="812">
        <f>+'2.Capex Details'!E56</f>
        <v>0</v>
      </c>
      <c r="R1149" s="813"/>
      <c r="S1149" s="813"/>
      <c r="T1149" s="814"/>
      <c r="U1149" s="795">
        <f>+'2.Capex Details'!G56</f>
        <v>372934.86119999998</v>
      </c>
      <c r="V1149" s="795"/>
      <c r="W1149" s="795"/>
      <c r="X1149" s="795"/>
      <c r="Y1149" s="795"/>
    </row>
    <row r="1150" spans="4:25">
      <c r="D1150" s="9"/>
      <c r="E1150" s="788">
        <f>+'2.Capex Details'!C57</f>
        <v>0</v>
      </c>
      <c r="F1150" s="788"/>
      <c r="G1150" s="788"/>
      <c r="H1150" s="788"/>
      <c r="I1150" s="788"/>
      <c r="J1150" s="788"/>
      <c r="K1150" s="788"/>
      <c r="L1150" s="788"/>
      <c r="M1150" s="788"/>
      <c r="N1150" s="795">
        <f>+'2.Capex Details'!F57</f>
        <v>0</v>
      </c>
      <c r="O1150" s="795"/>
      <c r="P1150" s="795"/>
      <c r="Q1150" s="812">
        <f>+'2.Capex Details'!E57</f>
        <v>0</v>
      </c>
      <c r="R1150" s="813"/>
      <c r="S1150" s="813"/>
      <c r="T1150" s="814"/>
      <c r="U1150" s="795">
        <f>+'2.Capex Details'!G57</f>
        <v>947132.96120000002</v>
      </c>
      <c r="V1150" s="795"/>
      <c r="W1150" s="795"/>
      <c r="X1150" s="795"/>
      <c r="Y1150" s="795"/>
    </row>
    <row r="1151" spans="4:25">
      <c r="D1151" s="9"/>
      <c r="E1151" s="788">
        <f>+'2.Capex Details'!C58</f>
        <v>0</v>
      </c>
      <c r="F1151" s="788"/>
      <c r="G1151" s="788"/>
      <c r="H1151" s="788"/>
      <c r="I1151" s="788"/>
      <c r="J1151" s="788"/>
      <c r="K1151" s="788"/>
      <c r="L1151" s="788"/>
      <c r="M1151" s="788"/>
      <c r="N1151" s="795">
        <f>+'2.Capex Details'!F58</f>
        <v>0</v>
      </c>
      <c r="O1151" s="795"/>
      <c r="P1151" s="795"/>
      <c r="Q1151" s="812">
        <f>+'2.Capex Details'!E58</f>
        <v>0</v>
      </c>
      <c r="R1151" s="813"/>
      <c r="S1151" s="813"/>
      <c r="T1151" s="814"/>
      <c r="U1151" s="795">
        <f>+'2.Capex Details'!G58</f>
        <v>0</v>
      </c>
      <c r="V1151" s="795"/>
      <c r="W1151" s="795"/>
      <c r="X1151" s="795"/>
      <c r="Y1151" s="795"/>
    </row>
    <row r="1152" spans="4:25" ht="9.75" customHeight="1">
      <c r="D1152" s="9"/>
      <c r="E1152" s="788"/>
      <c r="F1152" s="788"/>
      <c r="G1152" s="788"/>
      <c r="H1152" s="788"/>
      <c r="I1152" s="788"/>
      <c r="J1152" s="788"/>
      <c r="K1152" s="788"/>
      <c r="L1152" s="788"/>
      <c r="M1152" s="788"/>
      <c r="N1152" s="795"/>
      <c r="O1152" s="795"/>
      <c r="P1152" s="795"/>
      <c r="Q1152" s="795"/>
      <c r="R1152" s="795"/>
      <c r="S1152" s="795"/>
      <c r="T1152" s="795"/>
      <c r="U1152" s="795"/>
      <c r="V1152" s="795"/>
      <c r="W1152" s="795"/>
      <c r="X1152" s="795"/>
      <c r="Y1152" s="795"/>
    </row>
    <row r="1153" spans="4:25">
      <c r="D1153" s="9"/>
      <c r="E1153" s="794" t="s">
        <v>1131</v>
      </c>
      <c r="F1153" s="794"/>
      <c r="G1153" s="794"/>
      <c r="H1153" s="794"/>
      <c r="I1153" s="794"/>
      <c r="J1153" s="794"/>
      <c r="K1153" s="788"/>
      <c r="L1153" s="788"/>
      <c r="M1153" s="788"/>
      <c r="N1153" s="795"/>
      <c r="O1153" s="795"/>
      <c r="P1153" s="795"/>
      <c r="Q1153" s="795"/>
      <c r="R1153" s="795"/>
      <c r="S1153" s="795"/>
      <c r="T1153" s="795"/>
      <c r="U1153" s="796" t="e">
        <f>SUM(U1120:Y1151)</f>
        <v>#REF!</v>
      </c>
      <c r="V1153" s="796"/>
      <c r="W1153" s="796"/>
      <c r="X1153" s="796"/>
      <c r="Y1153" s="796"/>
    </row>
    <row r="1154" spans="4:25">
      <c r="D1154" s="513"/>
      <c r="E1154" s="511"/>
      <c r="F1154" s="511"/>
      <c r="G1154" s="511"/>
      <c r="H1154" s="511"/>
      <c r="I1154" s="511"/>
      <c r="J1154" s="511"/>
      <c r="K1154" s="507"/>
      <c r="L1154" s="507"/>
      <c r="M1154" s="507"/>
      <c r="N1154" s="591"/>
      <c r="O1154" s="591"/>
      <c r="P1154" s="591"/>
      <c r="Q1154" s="591"/>
      <c r="R1154" s="591"/>
      <c r="S1154" s="591"/>
      <c r="T1154" s="591"/>
      <c r="U1154" s="593"/>
      <c r="V1154" s="593"/>
      <c r="W1154" s="593"/>
      <c r="X1154" s="593"/>
      <c r="Y1154" s="593"/>
    </row>
    <row r="1155" spans="4:25">
      <c r="D1155" s="513"/>
      <c r="E1155" s="507"/>
      <c r="F1155" s="507"/>
      <c r="G1155" s="507"/>
      <c r="H1155" s="507"/>
      <c r="I1155" s="507"/>
      <c r="J1155" s="507"/>
      <c r="K1155" s="507"/>
      <c r="L1155" s="507"/>
      <c r="M1155" s="507"/>
      <c r="N1155" s="507"/>
      <c r="O1155" s="507"/>
      <c r="P1155" s="507"/>
      <c r="Q1155" s="507"/>
      <c r="R1155" s="507"/>
      <c r="S1155" s="507"/>
      <c r="T1155" s="507"/>
      <c r="U1155" s="511"/>
      <c r="V1155" s="511"/>
      <c r="W1155" s="511"/>
      <c r="X1155" s="511"/>
      <c r="Y1155" s="511"/>
    </row>
    <row r="1156" spans="4:25" ht="30">
      <c r="D1156" s="476" t="s">
        <v>1114</v>
      </c>
      <c r="E1156" s="845" t="s">
        <v>1124</v>
      </c>
      <c r="F1156" s="845"/>
      <c r="G1156" s="845"/>
      <c r="H1156" s="845"/>
      <c r="I1156" s="845"/>
      <c r="J1156" s="845"/>
      <c r="K1156" s="845" t="s">
        <v>1125</v>
      </c>
      <c r="L1156" s="845"/>
      <c r="M1156" s="845"/>
      <c r="N1156" s="845" t="s">
        <v>1126</v>
      </c>
      <c r="O1156" s="845"/>
      <c r="P1156" s="845"/>
      <c r="Q1156" s="845" t="s">
        <v>902</v>
      </c>
      <c r="R1156" s="845"/>
      <c r="S1156" s="845"/>
      <c r="T1156" s="845"/>
      <c r="U1156" s="845" t="s">
        <v>1127</v>
      </c>
      <c r="V1156" s="845"/>
      <c r="W1156" s="845"/>
      <c r="X1156" s="845"/>
      <c r="Y1156" s="845"/>
    </row>
    <row r="1157" spans="4:25">
      <c r="D1157" s="9"/>
      <c r="E1157" s="837" t="s">
        <v>1510</v>
      </c>
      <c r="F1157" s="838"/>
      <c r="G1157" s="838"/>
      <c r="H1157" s="838"/>
      <c r="I1157" s="838"/>
      <c r="J1157" s="838"/>
      <c r="K1157" s="838"/>
      <c r="L1157" s="838"/>
      <c r="M1157" s="838"/>
      <c r="N1157" s="838" t="str">
        <f>+'2.Capex Details'!C24</f>
        <v>Dal Mill Unit</v>
      </c>
      <c r="O1157" s="838"/>
      <c r="P1157" s="838"/>
      <c r="Q1157" s="838"/>
      <c r="R1157" s="838"/>
      <c r="S1157" s="838"/>
      <c r="T1157" s="838"/>
      <c r="U1157" s="838"/>
      <c r="V1157" s="838"/>
      <c r="W1157" s="838"/>
      <c r="X1157" s="838"/>
      <c r="Y1157" s="839"/>
    </row>
    <row r="1158" spans="4:25">
      <c r="D1158" s="9"/>
      <c r="E1158" s="788" t="s">
        <v>1128</v>
      </c>
      <c r="F1158" s="788"/>
      <c r="G1158" s="788"/>
      <c r="H1158" s="788"/>
      <c r="I1158" s="788"/>
      <c r="J1158" s="788"/>
      <c r="K1158" s="788"/>
      <c r="L1158" s="788"/>
      <c r="M1158" s="788"/>
      <c r="N1158" s="788"/>
      <c r="O1158" s="788"/>
      <c r="P1158" s="788"/>
      <c r="Q1158" s="788"/>
      <c r="R1158" s="788"/>
      <c r="S1158" s="788"/>
      <c r="T1158" s="788"/>
      <c r="U1158" s="788"/>
      <c r="V1158" s="788"/>
      <c r="W1158" s="788"/>
      <c r="X1158" s="788"/>
      <c r="Y1158" s="788"/>
    </row>
    <row r="1159" spans="4:25">
      <c r="D1159" s="9"/>
      <c r="E1159" s="788" t="e">
        <f>+'2.Capex Details'!#REF!</f>
        <v>#REF!</v>
      </c>
      <c r="F1159" s="788"/>
      <c r="G1159" s="788"/>
      <c r="H1159" s="788"/>
      <c r="I1159" s="788"/>
      <c r="J1159" s="788"/>
      <c r="K1159" s="788"/>
      <c r="L1159" s="788"/>
      <c r="M1159" s="788"/>
      <c r="N1159" s="795" t="e">
        <f>+'2.Capex Details'!#REF!</f>
        <v>#REF!</v>
      </c>
      <c r="O1159" s="795"/>
      <c r="P1159" s="795"/>
      <c r="Q1159" s="795" t="e">
        <f>+'2.Capex Details'!#REF!</f>
        <v>#REF!</v>
      </c>
      <c r="R1159" s="795"/>
      <c r="S1159" s="795"/>
      <c r="T1159" s="795"/>
      <c r="U1159" s="795" t="e">
        <f>+'2.Capex Details'!#REF!</f>
        <v>#REF!</v>
      </c>
      <c r="V1159" s="795"/>
      <c r="W1159" s="795"/>
      <c r="X1159" s="795"/>
      <c r="Y1159" s="795"/>
    </row>
    <row r="1160" spans="4:25" ht="6.75" customHeight="1">
      <c r="D1160" s="9"/>
      <c r="E1160" s="788"/>
      <c r="F1160" s="788"/>
      <c r="G1160" s="788"/>
      <c r="H1160" s="788"/>
      <c r="I1160" s="788"/>
      <c r="J1160" s="788"/>
      <c r="K1160" s="788"/>
      <c r="L1160" s="788"/>
      <c r="M1160" s="788"/>
      <c r="N1160" s="795"/>
      <c r="O1160" s="795"/>
      <c r="P1160" s="795"/>
      <c r="Q1160" s="795"/>
      <c r="R1160" s="795"/>
      <c r="S1160" s="795"/>
      <c r="T1160" s="795"/>
      <c r="U1160" s="795"/>
      <c r="V1160" s="795"/>
      <c r="W1160" s="795"/>
      <c r="X1160" s="795"/>
      <c r="Y1160" s="795"/>
    </row>
    <row r="1161" spans="4:25">
      <c r="D1161" s="9"/>
      <c r="E1161" s="788" t="s">
        <v>1129</v>
      </c>
      <c r="F1161" s="788"/>
      <c r="G1161" s="788"/>
      <c r="H1161" s="788"/>
      <c r="I1161" s="788"/>
      <c r="J1161" s="788"/>
      <c r="K1161" s="788"/>
      <c r="L1161" s="788"/>
      <c r="M1161" s="788"/>
      <c r="N1161" s="795"/>
      <c r="O1161" s="795"/>
      <c r="P1161" s="795"/>
      <c r="Q1161" s="795"/>
      <c r="R1161" s="795"/>
      <c r="S1161" s="795"/>
      <c r="T1161" s="795"/>
      <c r="U1161" s="795"/>
      <c r="V1161" s="795"/>
      <c r="W1161" s="795"/>
      <c r="X1161" s="795"/>
      <c r="Y1161" s="795"/>
    </row>
    <row r="1162" spans="4:25">
      <c r="D1162" s="9"/>
      <c r="E1162" s="794" t="str">
        <f>+'2.Capex Details'!C24</f>
        <v>Dal Mill Unit</v>
      </c>
      <c r="F1162" s="794"/>
      <c r="G1162" s="794"/>
      <c r="H1162" s="794"/>
      <c r="I1162" s="794"/>
      <c r="J1162" s="794"/>
      <c r="K1162" s="788"/>
      <c r="L1162" s="788"/>
      <c r="M1162" s="788"/>
      <c r="N1162" s="795"/>
      <c r="O1162" s="795"/>
      <c r="P1162" s="795"/>
      <c r="Q1162" s="795"/>
      <c r="R1162" s="795"/>
      <c r="S1162" s="795"/>
      <c r="T1162" s="795"/>
      <c r="U1162" s="795"/>
      <c r="V1162" s="795"/>
      <c r="W1162" s="795"/>
      <c r="X1162" s="795"/>
      <c r="Y1162" s="795"/>
    </row>
    <row r="1163" spans="4:25">
      <c r="D1163" s="9"/>
      <c r="E1163" s="788" t="str">
        <f>+'2.Capex Details'!C26</f>
        <v>GRAVITY SEPARATOR 5 FAN WITH A.C. DRIVE</v>
      </c>
      <c r="F1163" s="788"/>
      <c r="G1163" s="788"/>
      <c r="H1163" s="788"/>
      <c r="I1163" s="788"/>
      <c r="J1163" s="788"/>
      <c r="K1163" s="788"/>
      <c r="L1163" s="788"/>
      <c r="M1163" s="788"/>
      <c r="N1163" s="795">
        <f>+'2.Capex Details'!F26</f>
        <v>670000</v>
      </c>
      <c r="O1163" s="795"/>
      <c r="P1163" s="795"/>
      <c r="Q1163" s="795">
        <f>+'2.Capex Details'!E26</f>
        <v>1</v>
      </c>
      <c r="R1163" s="795"/>
      <c r="S1163" s="795"/>
      <c r="T1163" s="795"/>
      <c r="U1163" s="795">
        <f>+'2.Capex Details'!G26</f>
        <v>670000</v>
      </c>
      <c r="V1163" s="795"/>
      <c r="W1163" s="795"/>
      <c r="X1163" s="795"/>
      <c r="Y1163" s="795"/>
    </row>
    <row r="1164" spans="4:25">
      <c r="D1164" s="9"/>
      <c r="E1164" s="788" t="str">
        <f>+'2.Capex Details'!C27</f>
        <v>MAGNATIK DESTONER 1200 MM</v>
      </c>
      <c r="F1164" s="788"/>
      <c r="G1164" s="788"/>
      <c r="H1164" s="788"/>
      <c r="I1164" s="788"/>
      <c r="J1164" s="788"/>
      <c r="K1164" s="788"/>
      <c r="L1164" s="788"/>
      <c r="M1164" s="788"/>
      <c r="N1164" s="795">
        <f>+'2.Capex Details'!F27</f>
        <v>390000</v>
      </c>
      <c r="O1164" s="795"/>
      <c r="P1164" s="795"/>
      <c r="Q1164" s="795">
        <f>+'2.Capex Details'!E27</f>
        <v>1</v>
      </c>
      <c r="R1164" s="795"/>
      <c r="S1164" s="795"/>
      <c r="T1164" s="795"/>
      <c r="U1164" s="795">
        <f>+'2.Capex Details'!G27</f>
        <v>390000</v>
      </c>
      <c r="V1164" s="795"/>
      <c r="W1164" s="795"/>
      <c r="X1164" s="795"/>
      <c r="Y1164" s="795"/>
    </row>
    <row r="1165" spans="4:25">
      <c r="D1165" s="9"/>
      <c r="E1165" s="788" t="str">
        <f>+'2.Capex Details'!C29</f>
        <v>STROGE TANK 4 TPH</v>
      </c>
      <c r="F1165" s="788"/>
      <c r="G1165" s="788"/>
      <c r="H1165" s="788"/>
      <c r="I1165" s="788"/>
      <c r="J1165" s="788"/>
      <c r="K1165" s="788"/>
      <c r="L1165" s="788"/>
      <c r="M1165" s="788"/>
      <c r="N1165" s="795">
        <f>+'2.Capex Details'!F29</f>
        <v>94444.444444444438</v>
      </c>
      <c r="O1165" s="795"/>
      <c r="P1165" s="795"/>
      <c r="Q1165" s="795">
        <f>+'2.Capex Details'!E29</f>
        <v>9</v>
      </c>
      <c r="R1165" s="795"/>
      <c r="S1165" s="795"/>
      <c r="T1165" s="795"/>
      <c r="U1165" s="795">
        <f>+'2.Capex Details'!G29</f>
        <v>850000</v>
      </c>
      <c r="V1165" s="795"/>
      <c r="W1165" s="795"/>
      <c r="X1165" s="795"/>
      <c r="Y1165" s="795"/>
    </row>
    <row r="1166" spans="4:25">
      <c r="D1166" s="9"/>
      <c r="E1166" s="788" t="str">
        <f>+'2.Capex Details'!C30</f>
        <v>ROUNG GRADER WITH BLOWER</v>
      </c>
      <c r="F1166" s="788"/>
      <c r="G1166" s="788"/>
      <c r="H1166" s="788"/>
      <c r="I1166" s="788"/>
      <c r="J1166" s="788"/>
      <c r="K1166" s="788"/>
      <c r="L1166" s="788"/>
      <c r="M1166" s="788"/>
      <c r="N1166" s="795">
        <f>+'2.Capex Details'!F30</f>
        <v>225000</v>
      </c>
      <c r="O1166" s="795"/>
      <c r="P1166" s="795"/>
      <c r="Q1166" s="795">
        <f>+'2.Capex Details'!E30</f>
        <v>2</v>
      </c>
      <c r="R1166" s="795"/>
      <c r="S1166" s="795"/>
      <c r="T1166" s="795"/>
      <c r="U1166" s="795">
        <f>+'2.Capex Details'!G30</f>
        <v>450000</v>
      </c>
      <c r="V1166" s="795"/>
      <c r="W1166" s="795"/>
      <c r="X1166" s="795"/>
      <c r="Y1166" s="795"/>
    </row>
    <row r="1167" spans="4:25">
      <c r="D1167" s="9"/>
      <c r="E1167" s="788" t="str">
        <f>+'2.Capex Details'!C31</f>
        <v>EMERY ROL 1 SET ,ROLE -14/33 (2tph)</v>
      </c>
      <c r="F1167" s="788"/>
      <c r="G1167" s="788"/>
      <c r="H1167" s="788"/>
      <c r="I1167" s="788"/>
      <c r="J1167" s="788"/>
      <c r="K1167" s="788"/>
      <c r="L1167" s="788"/>
      <c r="M1167" s="788"/>
      <c r="N1167" s="795">
        <f>+'2.Capex Details'!F31</f>
        <v>116000</v>
      </c>
      <c r="O1167" s="795"/>
      <c r="P1167" s="795"/>
      <c r="Q1167" s="795">
        <f>+'2.Capex Details'!E31</f>
        <v>5</v>
      </c>
      <c r="R1167" s="795"/>
      <c r="S1167" s="795"/>
      <c r="T1167" s="795"/>
      <c r="U1167" s="795">
        <f>+'2.Capex Details'!G31</f>
        <v>580000</v>
      </c>
      <c r="V1167" s="795"/>
      <c r="W1167" s="795"/>
      <c r="X1167" s="795"/>
      <c r="Y1167" s="795"/>
    </row>
    <row r="1168" spans="4:25">
      <c r="D1168" s="9"/>
      <c r="E1168" s="788" t="str">
        <f>+'2.Capex Details'!C32</f>
        <v>CONVEYOR POLISHAR AND BUP POLSHAR</v>
      </c>
      <c r="F1168" s="788"/>
      <c r="G1168" s="788"/>
      <c r="H1168" s="788"/>
      <c r="I1168" s="788"/>
      <c r="J1168" s="788"/>
      <c r="K1168" s="788"/>
      <c r="L1168" s="788"/>
      <c r="M1168" s="788"/>
      <c r="N1168" s="795">
        <f>+'2.Capex Details'!F32</f>
        <v>230000</v>
      </c>
      <c r="O1168" s="795"/>
      <c r="P1168" s="795"/>
      <c r="Q1168" s="795">
        <f>+'2.Capex Details'!E32</f>
        <v>2</v>
      </c>
      <c r="R1168" s="795"/>
      <c r="S1168" s="795"/>
      <c r="T1168" s="795"/>
      <c r="U1168" s="795">
        <f>+'2.Capex Details'!G32</f>
        <v>460000</v>
      </c>
      <c r="V1168" s="795"/>
      <c r="W1168" s="795"/>
      <c r="X1168" s="795"/>
      <c r="Y1168" s="795"/>
    </row>
    <row r="1169" spans="4:25">
      <c r="D1169" s="9"/>
      <c r="E1169" s="788" t="str">
        <f>+'2.Capex Details'!C33</f>
        <v>SHELLER COMPALET</v>
      </c>
      <c r="F1169" s="788"/>
      <c r="G1169" s="788"/>
      <c r="H1169" s="788"/>
      <c r="I1169" s="788"/>
      <c r="J1169" s="788"/>
      <c r="K1169" s="788"/>
      <c r="L1169" s="788"/>
      <c r="M1169" s="788"/>
      <c r="N1169" s="795">
        <f>+'2.Capex Details'!F33</f>
        <v>35000</v>
      </c>
      <c r="O1169" s="795"/>
      <c r="P1169" s="795"/>
      <c r="Q1169" s="795">
        <f>+'2.Capex Details'!E33</f>
        <v>1</v>
      </c>
      <c r="R1169" s="795"/>
      <c r="S1169" s="795"/>
      <c r="T1169" s="795"/>
      <c r="U1169" s="795">
        <f>+'2.Capex Details'!G33</f>
        <v>35000</v>
      </c>
      <c r="V1169" s="795"/>
      <c r="W1169" s="795"/>
      <c r="X1169" s="795"/>
      <c r="Y1169" s="795"/>
    </row>
    <row r="1170" spans="4:25">
      <c r="D1170" s="9"/>
      <c r="E1170" s="788" t="str">
        <f>+'2.Capex Details'!C34</f>
        <v>CONVER TO WATER OIL MIXING,</v>
      </c>
      <c r="F1170" s="788"/>
      <c r="G1170" s="788"/>
      <c r="H1170" s="788"/>
      <c r="I1170" s="788"/>
      <c r="J1170" s="788"/>
      <c r="K1170" s="788"/>
      <c r="L1170" s="788"/>
      <c r="M1170" s="788"/>
      <c r="N1170" s="795">
        <f>+'2.Capex Details'!F34</f>
        <v>50000</v>
      </c>
      <c r="O1170" s="795"/>
      <c r="P1170" s="795"/>
      <c r="Q1170" s="795">
        <f>+'2.Capex Details'!E34</f>
        <v>8</v>
      </c>
      <c r="R1170" s="795"/>
      <c r="S1170" s="795"/>
      <c r="T1170" s="795"/>
      <c r="U1170" s="795">
        <f>+'2.Capex Details'!G34</f>
        <v>400000</v>
      </c>
      <c r="V1170" s="795"/>
      <c r="W1170" s="795"/>
      <c r="X1170" s="795"/>
      <c r="Y1170" s="795"/>
    </row>
    <row r="1171" spans="4:25">
      <c r="D1171" s="9"/>
      <c r="E1171" s="788" t="str">
        <f>+'2.Capex Details'!C35</f>
        <v>DRAYER</v>
      </c>
      <c r="F1171" s="788"/>
      <c r="G1171" s="788"/>
      <c r="H1171" s="788"/>
      <c r="I1171" s="788"/>
      <c r="J1171" s="788"/>
      <c r="K1171" s="788"/>
      <c r="L1171" s="788"/>
      <c r="M1171" s="788"/>
      <c r="N1171" s="795">
        <f>+'2.Capex Details'!F35</f>
        <v>265000</v>
      </c>
      <c r="O1171" s="795"/>
      <c r="P1171" s="795"/>
      <c r="Q1171" s="795">
        <f>+'2.Capex Details'!E35</f>
        <v>3</v>
      </c>
      <c r="R1171" s="795"/>
      <c r="S1171" s="795"/>
      <c r="T1171" s="795"/>
      <c r="U1171" s="795">
        <f>+'2.Capex Details'!G35</f>
        <v>795000</v>
      </c>
      <c r="V1171" s="795"/>
      <c r="W1171" s="795"/>
      <c r="X1171" s="795"/>
      <c r="Y1171" s="795"/>
    </row>
    <row r="1172" spans="4:25">
      <c r="D1172" s="9"/>
      <c r="E1172" s="788" t="str">
        <f>+'2.Capex Details'!C36</f>
        <v>STARTER AND CABLE</v>
      </c>
      <c r="F1172" s="788"/>
      <c r="G1172" s="788"/>
      <c r="H1172" s="788"/>
      <c r="I1172" s="788"/>
      <c r="J1172" s="788"/>
      <c r="K1172" s="788"/>
      <c r="L1172" s="788"/>
      <c r="M1172" s="788"/>
      <c r="N1172" s="795">
        <f>+'2.Capex Details'!F36</f>
        <v>425000</v>
      </c>
      <c r="O1172" s="795"/>
      <c r="P1172" s="795"/>
      <c r="Q1172" s="795">
        <f>+'2.Capex Details'!E36</f>
        <v>1</v>
      </c>
      <c r="R1172" s="795"/>
      <c r="S1172" s="795"/>
      <c r="T1172" s="795"/>
      <c r="U1172" s="795">
        <f>+'2.Capex Details'!G36</f>
        <v>425000</v>
      </c>
      <c r="V1172" s="795"/>
      <c r="W1172" s="795"/>
      <c r="X1172" s="795"/>
      <c r="Y1172" s="795"/>
    </row>
    <row r="1173" spans="4:25">
      <c r="D1173" s="9"/>
      <c r="E1173" s="788" t="str">
        <f>+'2.Capex Details'!C38</f>
        <v xml:space="preserve">DAL GRADER 3 SCREEN </v>
      </c>
      <c r="F1173" s="788"/>
      <c r="G1173" s="788"/>
      <c r="H1173" s="788"/>
      <c r="I1173" s="788"/>
      <c r="J1173" s="788"/>
      <c r="K1173" s="788"/>
      <c r="L1173" s="788"/>
      <c r="M1173" s="788"/>
      <c r="N1173" s="795">
        <f>+'2.Capex Details'!F38</f>
        <v>310000</v>
      </c>
      <c r="O1173" s="795"/>
      <c r="P1173" s="795"/>
      <c r="Q1173" s="795">
        <f>+'2.Capex Details'!E38</f>
        <v>3</v>
      </c>
      <c r="R1173" s="795"/>
      <c r="S1173" s="795"/>
      <c r="T1173" s="795"/>
      <c r="U1173" s="795">
        <f>+'2.Capex Details'!G38</f>
        <v>930000</v>
      </c>
      <c r="V1173" s="795"/>
      <c r="W1173" s="795"/>
      <c r="X1173" s="795"/>
      <c r="Y1173" s="795"/>
    </row>
    <row r="1174" spans="4:25">
      <c r="D1174" s="9"/>
      <c r="E1174" s="788" t="str">
        <f>+'2.Capex Details'!C39</f>
        <v>BASEN GRADER</v>
      </c>
      <c r="F1174" s="788"/>
      <c r="G1174" s="788"/>
      <c r="H1174" s="788"/>
      <c r="I1174" s="788"/>
      <c r="J1174" s="788"/>
      <c r="K1174" s="788"/>
      <c r="L1174" s="788"/>
      <c r="M1174" s="788"/>
      <c r="N1174" s="795">
        <f>+'2.Capex Details'!F39</f>
        <v>75000</v>
      </c>
      <c r="O1174" s="795"/>
      <c r="P1174" s="795"/>
      <c r="Q1174" s="795">
        <f>+'2.Capex Details'!E39</f>
        <v>1</v>
      </c>
      <c r="R1174" s="795"/>
      <c r="S1174" s="795"/>
      <c r="T1174" s="795"/>
      <c r="U1174" s="795">
        <f>+'2.Capex Details'!G39</f>
        <v>75000</v>
      </c>
      <c r="V1174" s="795"/>
      <c r="W1174" s="795"/>
      <c r="X1174" s="795"/>
      <c r="Y1174" s="795"/>
    </row>
    <row r="1175" spans="4:25">
      <c r="D1175" s="9"/>
      <c r="E1175" s="788" t="str">
        <f>+'2.Capex Details'!C40</f>
        <v>COLOUR SORTEX MACHINE</v>
      </c>
      <c r="F1175" s="788"/>
      <c r="G1175" s="788"/>
      <c r="H1175" s="788"/>
      <c r="I1175" s="788"/>
      <c r="J1175" s="788"/>
      <c r="K1175" s="788"/>
      <c r="L1175" s="788"/>
      <c r="M1175" s="788"/>
      <c r="N1175" s="795">
        <f>+'2.Capex Details'!F40</f>
        <v>3275000</v>
      </c>
      <c r="O1175" s="795"/>
      <c r="P1175" s="795"/>
      <c r="Q1175" s="795">
        <f>+'2.Capex Details'!E40</f>
        <v>1</v>
      </c>
      <c r="R1175" s="795"/>
      <c r="S1175" s="795"/>
      <c r="T1175" s="795"/>
      <c r="U1175" s="795">
        <f>+'2.Capex Details'!G40</f>
        <v>3275000</v>
      </c>
      <c r="V1175" s="795"/>
      <c r="W1175" s="795"/>
      <c r="X1175" s="795"/>
      <c r="Y1175" s="795"/>
    </row>
    <row r="1176" spans="4:25">
      <c r="D1176" s="9"/>
      <c r="E1176" s="788" t="str">
        <f>+'2.Capex Details'!C41</f>
        <v>ATO.BAG CLOSER MACHINE</v>
      </c>
      <c r="F1176" s="788"/>
      <c r="G1176" s="788"/>
      <c r="H1176" s="788"/>
      <c r="I1176" s="788"/>
      <c r="J1176" s="788"/>
      <c r="K1176" s="788"/>
      <c r="L1176" s="788"/>
      <c r="M1176" s="788"/>
      <c r="N1176" s="795">
        <f>+'2.Capex Details'!F41</f>
        <v>860000</v>
      </c>
      <c r="O1176" s="795"/>
      <c r="P1176" s="795"/>
      <c r="Q1176" s="795">
        <f>+'2.Capex Details'!E41</f>
        <v>1</v>
      </c>
      <c r="R1176" s="795"/>
      <c r="S1176" s="795"/>
      <c r="T1176" s="795"/>
      <c r="U1176" s="795">
        <f>+'2.Capex Details'!G41</f>
        <v>860000</v>
      </c>
      <c r="V1176" s="795"/>
      <c r="W1176" s="795"/>
      <c r="X1176" s="795"/>
      <c r="Y1176" s="795"/>
    </row>
    <row r="1177" spans="4:25">
      <c r="D1177" s="9"/>
      <c r="E1177" s="788" t="str">
        <f>+'2.Capex Details'!C43</f>
        <v>FITTING AND INSTALLATION</v>
      </c>
      <c r="F1177" s="788"/>
      <c r="G1177" s="788"/>
      <c r="H1177" s="788"/>
      <c r="I1177" s="788"/>
      <c r="J1177" s="788"/>
      <c r="K1177" s="788"/>
      <c r="L1177" s="788"/>
      <c r="M1177" s="788"/>
      <c r="N1177" s="795">
        <f>+'2.Capex Details'!F43</f>
        <v>360000</v>
      </c>
      <c r="O1177" s="795"/>
      <c r="P1177" s="795"/>
      <c r="Q1177" s="795">
        <f>+'2.Capex Details'!E43</f>
        <v>1</v>
      </c>
      <c r="R1177" s="795"/>
      <c r="S1177" s="795"/>
      <c r="T1177" s="795"/>
      <c r="U1177" s="795">
        <f>+'2.Capex Details'!G43</f>
        <v>360000</v>
      </c>
      <c r="V1177" s="795"/>
      <c r="W1177" s="795"/>
      <c r="X1177" s="795"/>
      <c r="Y1177" s="795"/>
    </row>
    <row r="1178" spans="4:25">
      <c r="D1178" s="9"/>
      <c r="E1178" s="788" t="str">
        <f>+'2.Capex Details'!C44</f>
        <v>TRANSPORTATION</v>
      </c>
      <c r="F1178" s="788"/>
      <c r="G1178" s="788"/>
      <c r="H1178" s="788"/>
      <c r="I1178" s="788"/>
      <c r="J1178" s="788"/>
      <c r="K1178" s="788"/>
      <c r="L1178" s="788"/>
      <c r="M1178" s="788"/>
      <c r="N1178" s="795">
        <f>+'2.Capex Details'!F44</f>
        <v>240000</v>
      </c>
      <c r="O1178" s="795"/>
      <c r="P1178" s="795"/>
      <c r="Q1178" s="795">
        <v>1</v>
      </c>
      <c r="R1178" s="795"/>
      <c r="S1178" s="795"/>
      <c r="T1178" s="795"/>
      <c r="U1178" s="795">
        <f>+N1178</f>
        <v>240000</v>
      </c>
      <c r="V1178" s="795"/>
      <c r="W1178" s="795"/>
      <c r="X1178" s="795"/>
      <c r="Y1178" s="795"/>
    </row>
    <row r="1179" spans="4:25">
      <c r="D1179" s="9"/>
      <c r="E1179" s="788" t="e">
        <f>+'2.Capex Details'!#REF!</f>
        <v>#REF!</v>
      </c>
      <c r="F1179" s="788"/>
      <c r="G1179" s="788"/>
      <c r="H1179" s="788"/>
      <c r="I1179" s="788"/>
      <c r="J1179" s="788"/>
      <c r="K1179" s="788"/>
      <c r="L1179" s="788"/>
      <c r="M1179" s="788"/>
      <c r="N1179" s="795">
        <v>150000</v>
      </c>
      <c r="O1179" s="795"/>
      <c r="P1179" s="795"/>
      <c r="Q1179" s="795">
        <v>1</v>
      </c>
      <c r="R1179" s="795"/>
      <c r="S1179" s="795"/>
      <c r="T1179" s="795"/>
      <c r="U1179" s="795">
        <f>+N1179</f>
        <v>150000</v>
      </c>
      <c r="V1179" s="795"/>
      <c r="W1179" s="795"/>
      <c r="X1179" s="795"/>
      <c r="Y1179" s="795"/>
    </row>
    <row r="1180" spans="4:25">
      <c r="D1180" s="9"/>
      <c r="E1180" s="788" t="e">
        <f>+'2.Capex Details'!#REF!</f>
        <v>#REF!</v>
      </c>
      <c r="F1180" s="788"/>
      <c r="G1180" s="788"/>
      <c r="H1180" s="788"/>
      <c r="I1180" s="788"/>
      <c r="J1180" s="788"/>
      <c r="K1180" s="788"/>
      <c r="L1180" s="788"/>
      <c r="M1180" s="788"/>
      <c r="N1180" s="795" t="e">
        <f>+'2.Capex Details'!#REF!</f>
        <v>#REF!</v>
      </c>
      <c r="O1180" s="795"/>
      <c r="P1180" s="795"/>
      <c r="Q1180" s="795" t="e">
        <f>+'2.Capex Details'!#REF!</f>
        <v>#REF!</v>
      </c>
      <c r="R1180" s="795"/>
      <c r="S1180" s="795"/>
      <c r="T1180" s="795"/>
      <c r="U1180" s="795" t="e">
        <f>+'2.Capex Details'!#REF!</f>
        <v>#REF!</v>
      </c>
      <c r="V1180" s="795"/>
      <c r="W1180" s="795"/>
      <c r="X1180" s="795"/>
      <c r="Y1180" s="795"/>
    </row>
    <row r="1181" spans="4:25">
      <c r="D1181" s="9"/>
      <c r="E1181" s="788">
        <f>+'2.Capex Details'!C46</f>
        <v>0</v>
      </c>
      <c r="F1181" s="788"/>
      <c r="G1181" s="788"/>
      <c r="H1181" s="788"/>
      <c r="I1181" s="788"/>
      <c r="J1181" s="788"/>
      <c r="K1181" s="788"/>
      <c r="L1181" s="788"/>
      <c r="M1181" s="788"/>
      <c r="N1181" s="795">
        <f>+'2.Capex Details'!F46</f>
        <v>0</v>
      </c>
      <c r="O1181" s="795"/>
      <c r="P1181" s="795"/>
      <c r="Q1181" s="795">
        <f>+'2.Capex Details'!E46</f>
        <v>0</v>
      </c>
      <c r="R1181" s="795"/>
      <c r="S1181" s="795"/>
      <c r="T1181" s="795"/>
      <c r="U1181" s="796"/>
      <c r="V1181" s="796"/>
      <c r="W1181" s="796"/>
      <c r="X1181" s="796"/>
      <c r="Y1181" s="796"/>
    </row>
    <row r="1182" spans="4:25">
      <c r="D1182" s="9"/>
      <c r="E1182" s="794" t="e">
        <f>+'2.Capex Details'!#REF!</f>
        <v>#REF!</v>
      </c>
      <c r="F1182" s="794"/>
      <c r="G1182" s="794"/>
      <c r="H1182" s="794"/>
      <c r="I1182" s="794"/>
      <c r="J1182" s="794"/>
      <c r="K1182" s="788"/>
      <c r="L1182" s="788"/>
      <c r="M1182" s="788"/>
      <c r="N1182" s="795" t="e">
        <f>+'2.Capex Details'!#REF!</f>
        <v>#REF!</v>
      </c>
      <c r="O1182" s="795"/>
      <c r="P1182" s="795"/>
      <c r="Q1182" s="795" t="e">
        <f>+'2.Capex Details'!#REF!</f>
        <v>#REF!</v>
      </c>
      <c r="R1182" s="795"/>
      <c r="S1182" s="795"/>
      <c r="T1182" s="795"/>
      <c r="U1182" s="795" t="e">
        <f>+'2.Capex Details'!#REF!</f>
        <v>#REF!</v>
      </c>
      <c r="V1182" s="795"/>
      <c r="W1182" s="795"/>
      <c r="X1182" s="795"/>
      <c r="Y1182" s="795"/>
    </row>
    <row r="1183" spans="4:25">
      <c r="D1183" s="9"/>
      <c r="E1183" s="788" t="e">
        <f>+'2.Capex Details'!#REF!</f>
        <v>#REF!</v>
      </c>
      <c r="F1183" s="788"/>
      <c r="G1183" s="788"/>
      <c r="H1183" s="788"/>
      <c r="I1183" s="788"/>
      <c r="J1183" s="788"/>
      <c r="K1183" s="788"/>
      <c r="L1183" s="788"/>
      <c r="M1183" s="788"/>
      <c r="N1183" s="795" t="e">
        <f>+'2.Capex Details'!#REF!</f>
        <v>#REF!</v>
      </c>
      <c r="O1183" s="795"/>
      <c r="P1183" s="795"/>
      <c r="Q1183" s="795" t="e">
        <f>+'2.Capex Details'!#REF!</f>
        <v>#REF!</v>
      </c>
      <c r="R1183" s="795"/>
      <c r="S1183" s="795"/>
      <c r="T1183" s="795"/>
      <c r="U1183" s="795" t="e">
        <f>+'2.Capex Details'!#REF!</f>
        <v>#REF!</v>
      </c>
      <c r="V1183" s="795"/>
      <c r="W1183" s="795"/>
      <c r="X1183" s="795"/>
      <c r="Y1183" s="795"/>
    </row>
    <row r="1184" spans="4:25">
      <c r="D1184" s="9"/>
      <c r="E1184" s="788" t="e">
        <f>+'2.Capex Details'!#REF!</f>
        <v>#REF!</v>
      </c>
      <c r="F1184" s="788"/>
      <c r="G1184" s="788"/>
      <c r="H1184" s="788"/>
      <c r="I1184" s="788"/>
      <c r="J1184" s="788"/>
      <c r="K1184" s="788"/>
      <c r="L1184" s="788"/>
      <c r="M1184" s="788"/>
      <c r="N1184" s="795" t="e">
        <f>+'2.Capex Details'!#REF!</f>
        <v>#REF!</v>
      </c>
      <c r="O1184" s="795"/>
      <c r="P1184" s="795"/>
      <c r="Q1184" s="795" t="e">
        <f>+'2.Capex Details'!#REF!</f>
        <v>#REF!</v>
      </c>
      <c r="R1184" s="795"/>
      <c r="S1184" s="795"/>
      <c r="T1184" s="795"/>
      <c r="U1184" s="795" t="e">
        <f>+'2.Capex Details'!#REF!</f>
        <v>#REF!</v>
      </c>
      <c r="V1184" s="795"/>
      <c r="W1184" s="795"/>
      <c r="X1184" s="795"/>
      <c r="Y1184" s="795"/>
    </row>
    <row r="1185" spans="4:25">
      <c r="D1185" s="9"/>
      <c r="E1185" s="788" t="e">
        <f>+'2.Capex Details'!#REF!</f>
        <v>#REF!</v>
      </c>
      <c r="F1185" s="788"/>
      <c r="G1185" s="788"/>
      <c r="H1185" s="788"/>
      <c r="I1185" s="788"/>
      <c r="J1185" s="788"/>
      <c r="K1185" s="788"/>
      <c r="L1185" s="788"/>
      <c r="M1185" s="788"/>
      <c r="N1185" s="795" t="e">
        <f>+'2.Capex Details'!#REF!</f>
        <v>#REF!</v>
      </c>
      <c r="O1185" s="795"/>
      <c r="P1185" s="795"/>
      <c r="Q1185" s="795" t="e">
        <f>+'2.Capex Details'!#REF!</f>
        <v>#REF!</v>
      </c>
      <c r="R1185" s="795"/>
      <c r="S1185" s="795"/>
      <c r="T1185" s="795"/>
      <c r="U1185" s="795" t="e">
        <f>+'2.Capex Details'!#REF!</f>
        <v>#REF!</v>
      </c>
      <c r="V1185" s="795"/>
      <c r="W1185" s="795"/>
      <c r="X1185" s="795"/>
      <c r="Y1185" s="795"/>
    </row>
    <row r="1186" spans="4:25">
      <c r="D1186" s="9"/>
      <c r="E1186" s="788" t="e">
        <f>+'2.Capex Details'!#REF!</f>
        <v>#REF!</v>
      </c>
      <c r="F1186" s="788"/>
      <c r="G1186" s="788"/>
      <c r="H1186" s="788"/>
      <c r="I1186" s="788"/>
      <c r="J1186" s="788"/>
      <c r="K1186" s="788"/>
      <c r="L1186" s="788"/>
      <c r="M1186" s="788"/>
      <c r="N1186" s="795" t="e">
        <f>+'2.Capex Details'!#REF!</f>
        <v>#REF!</v>
      </c>
      <c r="O1186" s="795"/>
      <c r="P1186" s="795"/>
      <c r="Q1186" s="795" t="e">
        <f>+'2.Capex Details'!#REF!</f>
        <v>#REF!</v>
      </c>
      <c r="R1186" s="795"/>
      <c r="S1186" s="795"/>
      <c r="T1186" s="795"/>
      <c r="U1186" s="795" t="e">
        <f>+'2.Capex Details'!#REF!</f>
        <v>#REF!</v>
      </c>
      <c r="V1186" s="795"/>
      <c r="W1186" s="795"/>
      <c r="X1186" s="795"/>
      <c r="Y1186" s="795"/>
    </row>
    <row r="1187" spans="4:25">
      <c r="D1187" s="9"/>
      <c r="E1187" s="788" t="e">
        <f>+'2.Capex Details'!#REF!</f>
        <v>#REF!</v>
      </c>
      <c r="F1187" s="788"/>
      <c r="G1187" s="788"/>
      <c r="H1187" s="788"/>
      <c r="I1187" s="788"/>
      <c r="J1187" s="788"/>
      <c r="K1187" s="788"/>
      <c r="L1187" s="788"/>
      <c r="M1187" s="788"/>
      <c r="N1187" s="795" t="e">
        <f>+'2.Capex Details'!#REF!</f>
        <v>#REF!</v>
      </c>
      <c r="O1187" s="795"/>
      <c r="P1187" s="795"/>
      <c r="Q1187" s="795" t="e">
        <f>+'2.Capex Details'!#REF!</f>
        <v>#REF!</v>
      </c>
      <c r="R1187" s="795"/>
      <c r="S1187" s="795"/>
      <c r="T1187" s="795"/>
      <c r="U1187" s="795" t="e">
        <f>+'2.Capex Details'!#REF!</f>
        <v>#REF!</v>
      </c>
      <c r="V1187" s="795"/>
      <c r="W1187" s="795"/>
      <c r="X1187" s="795"/>
      <c r="Y1187" s="795"/>
    </row>
    <row r="1188" spans="4:25">
      <c r="D1188" s="9"/>
      <c r="E1188" s="788" t="e">
        <f>+'2.Capex Details'!#REF!</f>
        <v>#REF!</v>
      </c>
      <c r="F1188" s="788"/>
      <c r="G1188" s="788"/>
      <c r="H1188" s="788"/>
      <c r="I1188" s="788"/>
      <c r="J1188" s="788"/>
      <c r="K1188" s="788"/>
      <c r="L1188" s="788"/>
      <c r="M1188" s="788"/>
      <c r="N1188" s="795" t="e">
        <f>+'2.Capex Details'!#REF!</f>
        <v>#REF!</v>
      </c>
      <c r="O1188" s="795"/>
      <c r="P1188" s="795"/>
      <c r="Q1188" s="795" t="e">
        <f>+'2.Capex Details'!#REF!</f>
        <v>#REF!</v>
      </c>
      <c r="R1188" s="795"/>
      <c r="S1188" s="795"/>
      <c r="T1188" s="795"/>
      <c r="U1188" s="795" t="e">
        <f>+'2.Capex Details'!#REF!</f>
        <v>#REF!</v>
      </c>
      <c r="V1188" s="795"/>
      <c r="W1188" s="795"/>
      <c r="X1188" s="795"/>
      <c r="Y1188" s="795"/>
    </row>
    <row r="1189" spans="4:25">
      <c r="D1189" s="9"/>
      <c r="E1189" s="788" t="e">
        <f>+'2.Capex Details'!#REF!</f>
        <v>#REF!</v>
      </c>
      <c r="F1189" s="788"/>
      <c r="G1189" s="788"/>
      <c r="H1189" s="788"/>
      <c r="I1189" s="788"/>
      <c r="J1189" s="788"/>
      <c r="K1189" s="788"/>
      <c r="L1189" s="788"/>
      <c r="M1189" s="788"/>
      <c r="N1189" s="795" t="e">
        <f>+'2.Capex Details'!#REF!</f>
        <v>#REF!</v>
      </c>
      <c r="O1189" s="795"/>
      <c r="P1189" s="795"/>
      <c r="Q1189" s="795" t="e">
        <f>+'2.Capex Details'!#REF!</f>
        <v>#REF!</v>
      </c>
      <c r="R1189" s="795"/>
      <c r="S1189" s="795"/>
      <c r="T1189" s="795"/>
      <c r="U1189" s="795" t="e">
        <f>+'2.Capex Details'!#REF!</f>
        <v>#REF!</v>
      </c>
      <c r="V1189" s="795"/>
      <c r="W1189" s="795"/>
      <c r="X1189" s="795"/>
      <c r="Y1189" s="795"/>
    </row>
    <row r="1190" spans="4:25">
      <c r="D1190" s="9"/>
      <c r="E1190" s="788" t="e">
        <f>+'2.Capex Details'!#REF!</f>
        <v>#REF!</v>
      </c>
      <c r="F1190" s="788"/>
      <c r="G1190" s="788"/>
      <c r="H1190" s="788"/>
      <c r="I1190" s="788"/>
      <c r="J1190" s="788"/>
      <c r="K1190" s="788"/>
      <c r="L1190" s="788"/>
      <c r="M1190" s="788"/>
      <c r="N1190" s="795" t="e">
        <f>+'2.Capex Details'!#REF!</f>
        <v>#REF!</v>
      </c>
      <c r="O1190" s="795"/>
      <c r="P1190" s="795"/>
      <c r="Q1190" s="795" t="e">
        <f>+'2.Capex Details'!#REF!</f>
        <v>#REF!</v>
      </c>
      <c r="R1190" s="795"/>
      <c r="S1190" s="795"/>
      <c r="T1190" s="795"/>
      <c r="U1190" s="795" t="e">
        <f>+'2.Capex Details'!#REF!</f>
        <v>#REF!</v>
      </c>
      <c r="V1190" s="795"/>
      <c r="W1190" s="795"/>
      <c r="X1190" s="795"/>
      <c r="Y1190" s="795"/>
    </row>
    <row r="1191" spans="4:25">
      <c r="D1191" s="9"/>
      <c r="E1191" s="788" t="e">
        <f>+'2.Capex Details'!#REF!</f>
        <v>#REF!</v>
      </c>
      <c r="F1191" s="788"/>
      <c r="G1191" s="788"/>
      <c r="H1191" s="788"/>
      <c r="I1191" s="788"/>
      <c r="J1191" s="788"/>
      <c r="K1191" s="788"/>
      <c r="L1191" s="788"/>
      <c r="M1191" s="788"/>
      <c r="N1191" s="795" t="e">
        <f>+'2.Capex Details'!#REF!</f>
        <v>#REF!</v>
      </c>
      <c r="O1191" s="795"/>
      <c r="P1191" s="795"/>
      <c r="Q1191" s="795" t="e">
        <f>+'2.Capex Details'!#REF!</f>
        <v>#REF!</v>
      </c>
      <c r="R1191" s="795"/>
      <c r="S1191" s="795"/>
      <c r="T1191" s="795"/>
      <c r="U1191" s="795" t="e">
        <f>+'2.Capex Details'!#REF!</f>
        <v>#REF!</v>
      </c>
      <c r="V1191" s="795"/>
      <c r="W1191" s="795"/>
      <c r="X1191" s="795"/>
      <c r="Y1191" s="795"/>
    </row>
    <row r="1192" spans="4:25">
      <c r="D1192" s="9"/>
      <c r="E1192" s="788" t="e">
        <f>+'2.Capex Details'!#REF!</f>
        <v>#REF!</v>
      </c>
      <c r="F1192" s="788"/>
      <c r="G1192" s="788"/>
      <c r="H1192" s="788"/>
      <c r="I1192" s="788"/>
      <c r="J1192" s="788"/>
      <c r="K1192" s="788"/>
      <c r="L1192" s="788"/>
      <c r="M1192" s="788"/>
      <c r="N1192" s="795" t="e">
        <f>+'2.Capex Details'!#REF!</f>
        <v>#REF!</v>
      </c>
      <c r="O1192" s="795"/>
      <c r="P1192" s="795"/>
      <c r="Q1192" s="795" t="e">
        <f>+'2.Capex Details'!#REF!</f>
        <v>#REF!</v>
      </c>
      <c r="R1192" s="795"/>
      <c r="S1192" s="795"/>
      <c r="T1192" s="795"/>
      <c r="U1192" s="795" t="e">
        <f>+'2.Capex Details'!#REF!</f>
        <v>#REF!</v>
      </c>
      <c r="V1192" s="795"/>
      <c r="W1192" s="795"/>
      <c r="X1192" s="795"/>
      <c r="Y1192" s="795"/>
    </row>
    <row r="1193" spans="4:25">
      <c r="D1193" s="9"/>
      <c r="E1193" s="788" t="e">
        <f>+'2.Capex Details'!#REF!</f>
        <v>#REF!</v>
      </c>
      <c r="F1193" s="788"/>
      <c r="G1193" s="788"/>
      <c r="H1193" s="788"/>
      <c r="I1193" s="788"/>
      <c r="J1193" s="788"/>
      <c r="K1193" s="788"/>
      <c r="L1193" s="788"/>
      <c r="M1193" s="788"/>
      <c r="N1193" s="795" t="e">
        <f>+'2.Capex Details'!#REF!</f>
        <v>#REF!</v>
      </c>
      <c r="O1193" s="795"/>
      <c r="P1193" s="795"/>
      <c r="Q1193" s="795">
        <v>1</v>
      </c>
      <c r="R1193" s="795"/>
      <c r="S1193" s="795"/>
      <c r="T1193" s="795"/>
      <c r="U1193" s="795" t="e">
        <f>+N1193</f>
        <v>#REF!</v>
      </c>
      <c r="V1193" s="795"/>
      <c r="W1193" s="795"/>
      <c r="X1193" s="795"/>
      <c r="Y1193" s="795"/>
    </row>
    <row r="1194" spans="4:25">
      <c r="D1194" s="9"/>
      <c r="E1194" s="788"/>
      <c r="F1194" s="788"/>
      <c r="G1194" s="788"/>
      <c r="H1194" s="788"/>
      <c r="I1194" s="788"/>
      <c r="J1194" s="788"/>
      <c r="K1194" s="788"/>
      <c r="L1194" s="788"/>
      <c r="M1194" s="788"/>
      <c r="N1194" s="795"/>
      <c r="O1194" s="795"/>
      <c r="P1194" s="795"/>
      <c r="Q1194" s="795"/>
      <c r="R1194" s="795"/>
      <c r="S1194" s="795"/>
      <c r="T1194" s="795"/>
      <c r="U1194" s="795"/>
      <c r="V1194" s="795"/>
      <c r="W1194" s="795"/>
      <c r="X1194" s="795"/>
      <c r="Y1194" s="795"/>
    </row>
    <row r="1195" spans="4:25">
      <c r="D1195" s="9"/>
      <c r="E1195" s="788" t="s">
        <v>1131</v>
      </c>
      <c r="F1195" s="788"/>
      <c r="G1195" s="788"/>
      <c r="H1195" s="788"/>
      <c r="I1195" s="788"/>
      <c r="J1195" s="788"/>
      <c r="K1195" s="788"/>
      <c r="L1195" s="788"/>
      <c r="M1195" s="788"/>
      <c r="N1195" s="795"/>
      <c r="O1195" s="795"/>
      <c r="P1195" s="795"/>
      <c r="Q1195" s="795"/>
      <c r="R1195" s="795"/>
      <c r="S1195" s="795"/>
      <c r="T1195" s="795"/>
      <c r="U1195" s="796" t="e">
        <f>SUM(U1158:Y1194)</f>
        <v>#REF!</v>
      </c>
      <c r="V1195" s="796"/>
      <c r="W1195" s="796"/>
      <c r="X1195" s="796"/>
      <c r="Y1195" s="796"/>
    </row>
    <row r="1196" spans="4:25">
      <c r="D1196" s="513"/>
      <c r="E1196" s="507"/>
      <c r="F1196" s="507"/>
      <c r="G1196" s="507"/>
      <c r="H1196" s="507"/>
      <c r="I1196" s="507"/>
      <c r="J1196" s="507"/>
      <c r="K1196" s="507"/>
      <c r="L1196" s="507"/>
      <c r="M1196" s="507"/>
      <c r="N1196" s="507"/>
      <c r="O1196" s="507"/>
      <c r="P1196" s="507"/>
      <c r="Q1196" s="507"/>
      <c r="R1196" s="507"/>
      <c r="S1196" s="507"/>
      <c r="T1196" s="507"/>
      <c r="U1196" s="511"/>
      <c r="V1196" s="511"/>
      <c r="W1196" s="511"/>
      <c r="X1196" s="511"/>
      <c r="Y1196" s="511"/>
    </row>
    <row r="1197" spans="4:25" ht="30">
      <c r="D1197" s="476" t="s">
        <v>1114</v>
      </c>
      <c r="E1197" s="845" t="s">
        <v>1124</v>
      </c>
      <c r="F1197" s="845"/>
      <c r="G1197" s="845"/>
      <c r="H1197" s="845"/>
      <c r="I1197" s="845"/>
      <c r="J1197" s="845"/>
      <c r="K1197" s="845" t="s">
        <v>1125</v>
      </c>
      <c r="L1197" s="845"/>
      <c r="M1197" s="845"/>
      <c r="N1197" s="845" t="s">
        <v>1126</v>
      </c>
      <c r="O1197" s="845"/>
      <c r="P1197" s="845"/>
      <c r="Q1197" s="845" t="s">
        <v>902</v>
      </c>
      <c r="R1197" s="845"/>
      <c r="S1197" s="845"/>
      <c r="T1197" s="845"/>
      <c r="U1197" s="845" t="s">
        <v>1127</v>
      </c>
      <c r="V1197" s="845"/>
      <c r="W1197" s="845"/>
      <c r="X1197" s="845"/>
      <c r="Y1197" s="845"/>
    </row>
    <row r="1198" spans="4:25">
      <c r="D1198" s="9"/>
      <c r="E1198" s="837" t="s">
        <v>1511</v>
      </c>
      <c r="F1198" s="838"/>
      <c r="G1198" s="838"/>
      <c r="H1198" s="838"/>
      <c r="I1198" s="838"/>
      <c r="J1198" s="838"/>
      <c r="K1198" s="838"/>
      <c r="L1198" s="838"/>
      <c r="M1198" s="838"/>
      <c r="N1198" s="838" t="e">
        <f>+'2.Capex Details'!#REF!</f>
        <v>#REF!</v>
      </c>
      <c r="O1198" s="838"/>
      <c r="P1198" s="838"/>
      <c r="Q1198" s="838"/>
      <c r="R1198" s="838"/>
      <c r="S1198" s="838"/>
      <c r="T1198" s="838"/>
      <c r="U1198" s="838"/>
      <c r="V1198" s="838"/>
      <c r="W1198" s="838"/>
      <c r="X1198" s="838"/>
      <c r="Y1198" s="839"/>
    </row>
    <row r="1199" spans="4:25">
      <c r="D1199" s="9"/>
      <c r="E1199" s="788"/>
      <c r="F1199" s="788"/>
      <c r="G1199" s="788"/>
      <c r="H1199" s="788"/>
      <c r="I1199" s="788"/>
      <c r="J1199" s="788"/>
      <c r="K1199" s="788"/>
      <c r="L1199" s="788"/>
      <c r="M1199" s="788"/>
      <c r="N1199" s="788"/>
      <c r="O1199" s="788"/>
      <c r="P1199" s="788"/>
      <c r="Q1199" s="788"/>
      <c r="R1199" s="788"/>
      <c r="S1199" s="788"/>
      <c r="T1199" s="788"/>
      <c r="U1199" s="788"/>
      <c r="V1199" s="788"/>
      <c r="W1199" s="788"/>
      <c r="X1199" s="788"/>
      <c r="Y1199" s="788"/>
    </row>
    <row r="1200" spans="4:25">
      <c r="D1200" s="9"/>
      <c r="E1200" s="790"/>
      <c r="F1200" s="791"/>
      <c r="G1200" s="791"/>
      <c r="H1200" s="791"/>
      <c r="I1200" s="791"/>
      <c r="J1200" s="792"/>
      <c r="K1200" s="788"/>
      <c r="L1200" s="788"/>
      <c r="M1200" s="788"/>
      <c r="N1200" s="788"/>
      <c r="O1200" s="788"/>
      <c r="P1200" s="788"/>
      <c r="Q1200" s="788"/>
      <c r="R1200" s="788"/>
      <c r="S1200" s="788"/>
      <c r="T1200" s="788"/>
      <c r="U1200" s="788"/>
      <c r="V1200" s="788"/>
      <c r="W1200" s="788"/>
      <c r="X1200" s="788"/>
      <c r="Y1200" s="788"/>
    </row>
    <row r="1201" spans="4:25">
      <c r="D1201" s="9"/>
      <c r="E1201" s="788" t="s">
        <v>1129</v>
      </c>
      <c r="F1201" s="788"/>
      <c r="G1201" s="788"/>
      <c r="H1201" s="788"/>
      <c r="I1201" s="788"/>
      <c r="J1201" s="788"/>
      <c r="K1201" s="788"/>
      <c r="L1201" s="788"/>
      <c r="M1201" s="788"/>
      <c r="N1201" s="788"/>
      <c r="O1201" s="788"/>
      <c r="P1201" s="788"/>
      <c r="Q1201" s="788"/>
      <c r="R1201" s="788"/>
      <c r="S1201" s="788"/>
      <c r="T1201" s="788"/>
      <c r="U1201" s="788"/>
      <c r="V1201" s="788"/>
      <c r="W1201" s="788"/>
      <c r="X1201" s="788"/>
      <c r="Y1201" s="788"/>
    </row>
    <row r="1202" spans="4:25">
      <c r="D1202" s="9"/>
      <c r="E1202" s="788" t="e">
        <f>+'2.Capex Details'!#REF!</f>
        <v>#REF!</v>
      </c>
      <c r="F1202" s="788"/>
      <c r="G1202" s="788"/>
      <c r="H1202" s="788"/>
      <c r="I1202" s="788"/>
      <c r="J1202" s="788"/>
      <c r="K1202" s="788"/>
      <c r="L1202" s="788"/>
      <c r="M1202" s="788"/>
      <c r="N1202" s="795" t="e">
        <f>+'2.Capex Details'!#REF!</f>
        <v>#REF!</v>
      </c>
      <c r="O1202" s="795"/>
      <c r="P1202" s="795"/>
      <c r="Q1202" s="795" t="e">
        <f>+'2.Capex Details'!#REF!</f>
        <v>#REF!</v>
      </c>
      <c r="R1202" s="795"/>
      <c r="S1202" s="795"/>
      <c r="T1202" s="795"/>
      <c r="U1202" s="795" t="e">
        <f>+'2.Capex Details'!#REF!</f>
        <v>#REF!</v>
      </c>
      <c r="V1202" s="795"/>
      <c r="W1202" s="795"/>
      <c r="X1202" s="795"/>
      <c r="Y1202" s="795"/>
    </row>
    <row r="1203" spans="4:25">
      <c r="D1203" s="9"/>
      <c r="E1203" s="788" t="e">
        <f>+'2.Capex Details'!#REF!</f>
        <v>#REF!</v>
      </c>
      <c r="F1203" s="788"/>
      <c r="G1203" s="788"/>
      <c r="H1203" s="788"/>
      <c r="I1203" s="788"/>
      <c r="J1203" s="788"/>
      <c r="K1203" s="788"/>
      <c r="L1203" s="788"/>
      <c r="M1203" s="788"/>
      <c r="N1203" s="795" t="e">
        <f>+'2.Capex Details'!#REF!</f>
        <v>#REF!</v>
      </c>
      <c r="O1203" s="795"/>
      <c r="P1203" s="795"/>
      <c r="Q1203" s="795" t="e">
        <f>+'2.Capex Details'!#REF!</f>
        <v>#REF!</v>
      </c>
      <c r="R1203" s="795"/>
      <c r="S1203" s="795"/>
      <c r="T1203" s="795"/>
      <c r="U1203" s="795" t="e">
        <f>+'2.Capex Details'!#REF!</f>
        <v>#REF!</v>
      </c>
      <c r="V1203" s="795"/>
      <c r="W1203" s="795"/>
      <c r="X1203" s="795"/>
      <c r="Y1203" s="795"/>
    </row>
    <row r="1204" spans="4:25">
      <c r="D1204" s="9"/>
      <c r="E1204" s="788" t="e">
        <f>+'2.Capex Details'!#REF!</f>
        <v>#REF!</v>
      </c>
      <c r="F1204" s="788"/>
      <c r="G1204" s="788"/>
      <c r="H1204" s="788"/>
      <c r="I1204" s="788"/>
      <c r="J1204" s="788"/>
      <c r="K1204" s="788"/>
      <c r="L1204" s="788"/>
      <c r="M1204" s="788"/>
      <c r="N1204" s="795" t="e">
        <f>+'2.Capex Details'!#REF!</f>
        <v>#REF!</v>
      </c>
      <c r="O1204" s="795"/>
      <c r="P1204" s="795"/>
      <c r="Q1204" s="795" t="e">
        <f>+'2.Capex Details'!#REF!</f>
        <v>#REF!</v>
      </c>
      <c r="R1204" s="795"/>
      <c r="S1204" s="795"/>
      <c r="T1204" s="795"/>
      <c r="U1204" s="795" t="e">
        <f>+'2.Capex Details'!#REF!</f>
        <v>#REF!</v>
      </c>
      <c r="V1204" s="795"/>
      <c r="W1204" s="795"/>
      <c r="X1204" s="795"/>
      <c r="Y1204" s="795"/>
    </row>
    <row r="1205" spans="4:25">
      <c r="D1205" s="9"/>
      <c r="E1205" s="788" t="e">
        <f>+'2.Capex Details'!#REF!</f>
        <v>#REF!</v>
      </c>
      <c r="F1205" s="788"/>
      <c r="G1205" s="788"/>
      <c r="H1205" s="788"/>
      <c r="I1205" s="788"/>
      <c r="J1205" s="788"/>
      <c r="K1205" s="788"/>
      <c r="L1205" s="788"/>
      <c r="M1205" s="788"/>
      <c r="N1205" s="795" t="e">
        <f>+'2.Capex Details'!#REF!</f>
        <v>#REF!</v>
      </c>
      <c r="O1205" s="795"/>
      <c r="P1205" s="795"/>
      <c r="Q1205" s="795" t="e">
        <f>+'2.Capex Details'!#REF!</f>
        <v>#REF!</v>
      </c>
      <c r="R1205" s="795"/>
      <c r="S1205" s="795"/>
      <c r="T1205" s="795"/>
      <c r="U1205" s="795" t="e">
        <f>+'2.Capex Details'!#REF!</f>
        <v>#REF!</v>
      </c>
      <c r="V1205" s="795"/>
      <c r="W1205" s="795"/>
      <c r="X1205" s="795"/>
      <c r="Y1205" s="795"/>
    </row>
    <row r="1206" spans="4:25">
      <c r="D1206" s="9"/>
      <c r="E1206" s="788" t="e">
        <f>+'2.Capex Details'!#REF!</f>
        <v>#REF!</v>
      </c>
      <c r="F1206" s="788"/>
      <c r="G1206" s="788"/>
      <c r="H1206" s="788"/>
      <c r="I1206" s="788"/>
      <c r="J1206" s="788"/>
      <c r="K1206" s="788"/>
      <c r="L1206" s="788"/>
      <c r="M1206" s="788"/>
      <c r="N1206" s="795" t="e">
        <f>+'2.Capex Details'!#REF!</f>
        <v>#REF!</v>
      </c>
      <c r="O1206" s="795"/>
      <c r="P1206" s="795"/>
      <c r="Q1206" s="795" t="e">
        <f>+'2.Capex Details'!#REF!</f>
        <v>#REF!</v>
      </c>
      <c r="R1206" s="795"/>
      <c r="S1206" s="795"/>
      <c r="T1206" s="795"/>
      <c r="U1206" s="795" t="e">
        <f>+'2.Capex Details'!#REF!</f>
        <v>#REF!</v>
      </c>
      <c r="V1206" s="795"/>
      <c r="W1206" s="795"/>
      <c r="X1206" s="795"/>
      <c r="Y1206" s="795"/>
    </row>
    <row r="1207" spans="4:25">
      <c r="D1207" s="9"/>
      <c r="E1207" s="788" t="e">
        <f>+'2.Capex Details'!#REF!</f>
        <v>#REF!</v>
      </c>
      <c r="F1207" s="788"/>
      <c r="G1207" s="788"/>
      <c r="H1207" s="788"/>
      <c r="I1207" s="788"/>
      <c r="J1207" s="788"/>
      <c r="K1207" s="788"/>
      <c r="L1207" s="788"/>
      <c r="M1207" s="788"/>
      <c r="N1207" s="795" t="e">
        <f>+'2.Capex Details'!#REF!</f>
        <v>#REF!</v>
      </c>
      <c r="O1207" s="795"/>
      <c r="P1207" s="795"/>
      <c r="Q1207" s="795" t="e">
        <f>+'2.Capex Details'!#REF!</f>
        <v>#REF!</v>
      </c>
      <c r="R1207" s="795"/>
      <c r="S1207" s="795"/>
      <c r="T1207" s="795"/>
      <c r="U1207" s="795" t="e">
        <f>+'2.Capex Details'!#REF!</f>
        <v>#REF!</v>
      </c>
      <c r="V1207" s="795"/>
      <c r="W1207" s="795"/>
      <c r="X1207" s="795"/>
      <c r="Y1207" s="795"/>
    </row>
    <row r="1208" spans="4:25">
      <c r="D1208" s="9"/>
      <c r="E1208" s="788" t="e">
        <f>+'2.Capex Details'!#REF!</f>
        <v>#REF!</v>
      </c>
      <c r="F1208" s="788"/>
      <c r="G1208" s="788"/>
      <c r="H1208" s="788"/>
      <c r="I1208" s="788"/>
      <c r="J1208" s="788"/>
      <c r="K1208" s="788"/>
      <c r="L1208" s="788"/>
      <c r="M1208" s="788"/>
      <c r="N1208" s="795" t="e">
        <f>+'2.Capex Details'!#REF!</f>
        <v>#REF!</v>
      </c>
      <c r="O1208" s="795"/>
      <c r="P1208" s="795"/>
      <c r="Q1208" s="795" t="e">
        <f>+'2.Capex Details'!#REF!</f>
        <v>#REF!</v>
      </c>
      <c r="R1208" s="795"/>
      <c r="S1208" s="795"/>
      <c r="T1208" s="795"/>
      <c r="U1208" s="795" t="e">
        <f>+'2.Capex Details'!#REF!</f>
        <v>#REF!</v>
      </c>
      <c r="V1208" s="795"/>
      <c r="W1208" s="795"/>
      <c r="X1208" s="795"/>
      <c r="Y1208" s="795"/>
    </row>
    <row r="1209" spans="4:25">
      <c r="D1209" s="9"/>
      <c r="E1209" s="788" t="e">
        <f>+'2.Capex Details'!#REF!</f>
        <v>#REF!</v>
      </c>
      <c r="F1209" s="788"/>
      <c r="G1209" s="788"/>
      <c r="H1209" s="788"/>
      <c r="I1209" s="788"/>
      <c r="J1209" s="788"/>
      <c r="K1209" s="788"/>
      <c r="L1209" s="788"/>
      <c r="M1209" s="788"/>
      <c r="N1209" s="795" t="e">
        <f>+'2.Capex Details'!#REF!</f>
        <v>#REF!</v>
      </c>
      <c r="O1209" s="795"/>
      <c r="P1209" s="795"/>
      <c r="Q1209" s="795" t="e">
        <f>+'2.Capex Details'!#REF!</f>
        <v>#REF!</v>
      </c>
      <c r="R1209" s="795"/>
      <c r="S1209" s="795"/>
      <c r="T1209" s="795"/>
      <c r="U1209" s="795" t="e">
        <f>+'2.Capex Details'!#REF!</f>
        <v>#REF!</v>
      </c>
      <c r="V1209" s="795"/>
      <c r="W1209" s="795"/>
      <c r="X1209" s="795"/>
      <c r="Y1209" s="795"/>
    </row>
    <row r="1210" spans="4:25">
      <c r="D1210" s="9"/>
      <c r="E1210" s="788" t="e">
        <f>+'2.Capex Details'!#REF!</f>
        <v>#REF!</v>
      </c>
      <c r="F1210" s="788"/>
      <c r="G1210" s="788"/>
      <c r="H1210" s="788"/>
      <c r="I1210" s="788"/>
      <c r="J1210" s="788"/>
      <c r="K1210" s="788"/>
      <c r="L1210" s="788"/>
      <c r="M1210" s="788"/>
      <c r="N1210" s="795" t="e">
        <f>+'2.Capex Details'!#REF!</f>
        <v>#REF!</v>
      </c>
      <c r="O1210" s="795"/>
      <c r="P1210" s="795"/>
      <c r="Q1210" s="795" t="e">
        <f>+'2.Capex Details'!#REF!</f>
        <v>#REF!</v>
      </c>
      <c r="R1210" s="795"/>
      <c r="S1210" s="795"/>
      <c r="T1210" s="795"/>
      <c r="U1210" s="795" t="e">
        <f>+'2.Capex Details'!#REF!</f>
        <v>#REF!</v>
      </c>
      <c r="V1210" s="795"/>
      <c r="W1210" s="795"/>
      <c r="X1210" s="795"/>
      <c r="Y1210" s="795"/>
    </row>
    <row r="1211" spans="4:25">
      <c r="D1211" s="9"/>
      <c r="E1211" s="788" t="e">
        <f>+'2.Capex Details'!#REF!</f>
        <v>#REF!</v>
      </c>
      <c r="F1211" s="788"/>
      <c r="G1211" s="788"/>
      <c r="H1211" s="788"/>
      <c r="I1211" s="788"/>
      <c r="J1211" s="788"/>
      <c r="K1211" s="788"/>
      <c r="L1211" s="788"/>
      <c r="M1211" s="788"/>
      <c r="N1211" s="795" t="e">
        <f>+'2.Capex Details'!#REF!</f>
        <v>#REF!</v>
      </c>
      <c r="O1211" s="795"/>
      <c r="P1211" s="795"/>
      <c r="Q1211" s="795" t="e">
        <f>+'2.Capex Details'!#REF!</f>
        <v>#REF!</v>
      </c>
      <c r="R1211" s="795"/>
      <c r="S1211" s="795"/>
      <c r="T1211" s="795"/>
      <c r="U1211" s="795" t="e">
        <f>+'2.Capex Details'!#REF!</f>
        <v>#REF!</v>
      </c>
      <c r="V1211" s="795"/>
      <c r="W1211" s="795"/>
      <c r="X1211" s="795"/>
      <c r="Y1211" s="795"/>
    </row>
    <row r="1212" spans="4:25">
      <c r="D1212" s="9"/>
      <c r="E1212" s="788" t="e">
        <f>+'2.Capex Details'!#REF!</f>
        <v>#REF!</v>
      </c>
      <c r="F1212" s="788"/>
      <c r="G1212" s="788"/>
      <c r="H1212" s="788"/>
      <c r="I1212" s="788"/>
      <c r="J1212" s="788"/>
      <c r="K1212" s="788"/>
      <c r="L1212" s="788"/>
      <c r="M1212" s="788"/>
      <c r="N1212" s="795" t="e">
        <f>+'2.Capex Details'!#REF!</f>
        <v>#REF!</v>
      </c>
      <c r="O1212" s="795"/>
      <c r="P1212" s="795"/>
      <c r="Q1212" s="795" t="e">
        <f>+'2.Capex Details'!#REF!</f>
        <v>#REF!</v>
      </c>
      <c r="R1212" s="795"/>
      <c r="S1212" s="795"/>
      <c r="T1212" s="795"/>
      <c r="U1212" s="795" t="e">
        <f>+'2.Capex Details'!#REF!</f>
        <v>#REF!</v>
      </c>
      <c r="V1212" s="795"/>
      <c r="W1212" s="795"/>
      <c r="X1212" s="795"/>
      <c r="Y1212" s="795"/>
    </row>
    <row r="1213" spans="4:25">
      <c r="D1213" s="9"/>
      <c r="E1213" s="788" t="e">
        <f>+'2.Capex Details'!#REF!</f>
        <v>#REF!</v>
      </c>
      <c r="F1213" s="788"/>
      <c r="G1213" s="788"/>
      <c r="H1213" s="788"/>
      <c r="I1213" s="788"/>
      <c r="J1213" s="788"/>
      <c r="K1213" s="788"/>
      <c r="L1213" s="788"/>
      <c r="M1213" s="788"/>
      <c r="N1213" s="795" t="e">
        <f>+'2.Capex Details'!#REF!</f>
        <v>#REF!</v>
      </c>
      <c r="O1213" s="795"/>
      <c r="P1213" s="795"/>
      <c r="Q1213" s="795" t="e">
        <f>+'2.Capex Details'!#REF!</f>
        <v>#REF!</v>
      </c>
      <c r="R1213" s="795"/>
      <c r="S1213" s="795"/>
      <c r="T1213" s="795"/>
      <c r="U1213" s="795" t="e">
        <f>+'2.Capex Details'!#REF!</f>
        <v>#REF!</v>
      </c>
      <c r="V1213" s="795"/>
      <c r="W1213" s="795"/>
      <c r="X1213" s="795"/>
      <c r="Y1213" s="795"/>
    </row>
    <row r="1214" spans="4:25">
      <c r="D1214" s="9"/>
      <c r="E1214" s="788" t="e">
        <f>+'2.Capex Details'!#REF!</f>
        <v>#REF!</v>
      </c>
      <c r="F1214" s="788"/>
      <c r="G1214" s="788"/>
      <c r="H1214" s="788"/>
      <c r="I1214" s="788"/>
      <c r="J1214" s="788"/>
      <c r="K1214" s="788"/>
      <c r="L1214" s="788"/>
      <c r="M1214" s="788"/>
      <c r="N1214" s="795" t="e">
        <f>+'2.Capex Details'!#REF!</f>
        <v>#REF!</v>
      </c>
      <c r="O1214" s="795"/>
      <c r="P1214" s="795"/>
      <c r="Q1214" s="795"/>
      <c r="R1214" s="795"/>
      <c r="S1214" s="795"/>
      <c r="T1214" s="795"/>
      <c r="U1214" s="795"/>
      <c r="V1214" s="795"/>
      <c r="W1214" s="795"/>
      <c r="X1214" s="795"/>
      <c r="Y1214" s="795"/>
    </row>
    <row r="1215" spans="4:25">
      <c r="D1215" s="9"/>
      <c r="E1215" s="788" t="s">
        <v>1130</v>
      </c>
      <c r="F1215" s="788"/>
      <c r="G1215" s="788"/>
      <c r="H1215" s="788"/>
      <c r="I1215" s="788"/>
      <c r="J1215" s="788"/>
      <c r="K1215" s="788"/>
      <c r="L1215" s="788"/>
      <c r="M1215" s="788"/>
      <c r="N1215" s="795"/>
      <c r="O1215" s="795"/>
      <c r="P1215" s="795"/>
      <c r="Q1215" s="795"/>
      <c r="R1215" s="795"/>
      <c r="S1215" s="795"/>
      <c r="T1215" s="795"/>
      <c r="U1215" s="795"/>
      <c r="V1215" s="795"/>
      <c r="W1215" s="795"/>
      <c r="X1215" s="795"/>
      <c r="Y1215" s="795"/>
    </row>
    <row r="1216" spans="4:25">
      <c r="D1216" s="9"/>
      <c r="E1216" s="788"/>
      <c r="F1216" s="788"/>
      <c r="G1216" s="788"/>
      <c r="H1216" s="788"/>
      <c r="I1216" s="788"/>
      <c r="J1216" s="788"/>
      <c r="K1216" s="788"/>
      <c r="L1216" s="788"/>
      <c r="M1216" s="788"/>
      <c r="N1216" s="795"/>
      <c r="O1216" s="795"/>
      <c r="P1216" s="795"/>
      <c r="Q1216" s="795"/>
      <c r="R1216" s="795"/>
      <c r="S1216" s="795"/>
      <c r="T1216" s="795"/>
      <c r="U1216" s="795"/>
      <c r="V1216" s="795"/>
      <c r="W1216" s="795"/>
      <c r="X1216" s="795"/>
      <c r="Y1216" s="795"/>
    </row>
    <row r="1217" spans="4:25">
      <c r="D1217" s="9"/>
      <c r="E1217" s="794" t="s">
        <v>1131</v>
      </c>
      <c r="F1217" s="794"/>
      <c r="G1217" s="794"/>
      <c r="H1217" s="794"/>
      <c r="I1217" s="794"/>
      <c r="J1217" s="794"/>
      <c r="K1217" s="788"/>
      <c r="L1217" s="788"/>
      <c r="M1217" s="788"/>
      <c r="N1217" s="795"/>
      <c r="O1217" s="795"/>
      <c r="P1217" s="795"/>
      <c r="Q1217" s="795"/>
      <c r="R1217" s="795"/>
      <c r="S1217" s="795"/>
      <c r="T1217" s="795"/>
      <c r="U1217" s="796" t="e">
        <f>SUM(U1200:Y1216)</f>
        <v>#REF!</v>
      </c>
      <c r="V1217" s="796"/>
      <c r="W1217" s="796"/>
      <c r="X1217" s="796"/>
      <c r="Y1217" s="796"/>
    </row>
    <row r="1218" spans="4:25">
      <c r="D1218" s="9"/>
      <c r="E1218" s="510"/>
      <c r="F1218" s="511"/>
      <c r="G1218" s="511"/>
      <c r="H1218" s="511"/>
      <c r="I1218" s="511"/>
      <c r="J1218" s="511"/>
      <c r="K1218" s="507"/>
      <c r="L1218" s="507"/>
      <c r="M1218" s="507"/>
      <c r="N1218" s="507"/>
      <c r="O1218" s="507"/>
      <c r="P1218" s="507"/>
      <c r="Q1218" s="507"/>
      <c r="R1218" s="507"/>
      <c r="S1218" s="507"/>
      <c r="T1218" s="507"/>
      <c r="U1218" s="511"/>
      <c r="V1218" s="511"/>
      <c r="W1218" s="511"/>
      <c r="X1218" s="511"/>
      <c r="Y1218" s="512"/>
    </row>
    <row r="1219" spans="4:25" ht="30">
      <c r="D1219" s="476" t="s">
        <v>1114</v>
      </c>
      <c r="E1219" s="845" t="s">
        <v>1124</v>
      </c>
      <c r="F1219" s="845"/>
      <c r="G1219" s="845"/>
      <c r="H1219" s="845"/>
      <c r="I1219" s="845"/>
      <c r="J1219" s="845"/>
      <c r="K1219" s="845" t="s">
        <v>1125</v>
      </c>
      <c r="L1219" s="845"/>
      <c r="M1219" s="845"/>
      <c r="N1219" s="845" t="s">
        <v>1126</v>
      </c>
      <c r="O1219" s="845"/>
      <c r="P1219" s="845"/>
      <c r="Q1219" s="845" t="s">
        <v>902</v>
      </c>
      <c r="R1219" s="845"/>
      <c r="S1219" s="845"/>
      <c r="T1219" s="845"/>
      <c r="U1219" s="845" t="s">
        <v>1127</v>
      </c>
      <c r="V1219" s="845"/>
      <c r="W1219" s="845"/>
      <c r="X1219" s="845"/>
      <c r="Y1219" s="845"/>
    </row>
    <row r="1220" spans="4:25">
      <c r="D1220" s="9"/>
      <c r="E1220" s="837" t="s">
        <v>1511</v>
      </c>
      <c r="F1220" s="838"/>
      <c r="G1220" s="838"/>
      <c r="H1220" s="838"/>
      <c r="I1220" s="838"/>
      <c r="J1220" s="838"/>
      <c r="K1220" s="838"/>
      <c r="L1220" s="838"/>
      <c r="M1220" s="838"/>
      <c r="N1220" s="838" t="e">
        <f>+'2.Capex Details'!#REF!</f>
        <v>#REF!</v>
      </c>
      <c r="O1220" s="838"/>
      <c r="P1220" s="838"/>
      <c r="Q1220" s="838"/>
      <c r="R1220" s="838"/>
      <c r="S1220" s="838"/>
      <c r="T1220" s="838"/>
      <c r="U1220" s="838"/>
      <c r="V1220" s="838"/>
      <c r="W1220" s="838"/>
      <c r="X1220" s="838"/>
      <c r="Y1220" s="839"/>
    </row>
    <row r="1221" spans="4:25">
      <c r="D1221" s="9"/>
      <c r="E1221" s="788" t="str">
        <f>+'2.Capex Details'!C14</f>
        <v>Internal Road &amp; Wall Compound</v>
      </c>
      <c r="F1221" s="788"/>
      <c r="G1221" s="788"/>
      <c r="H1221" s="788"/>
      <c r="I1221" s="788"/>
      <c r="J1221" s="788"/>
      <c r="K1221" s="788"/>
      <c r="L1221" s="788"/>
      <c r="M1221" s="788"/>
      <c r="N1221" s="788"/>
      <c r="O1221" s="788"/>
      <c r="P1221" s="788"/>
      <c r="Q1221" s="788"/>
      <c r="R1221" s="788"/>
      <c r="S1221" s="788"/>
      <c r="T1221" s="788"/>
      <c r="U1221" s="788">
        <f>+'2.Capex Details'!H14</f>
        <v>1550620</v>
      </c>
      <c r="V1221" s="788"/>
      <c r="W1221" s="788"/>
      <c r="X1221" s="788"/>
      <c r="Y1221" s="788"/>
    </row>
    <row r="1222" spans="4:25">
      <c r="D1222" s="9"/>
      <c r="E1222" s="790"/>
      <c r="F1222" s="791"/>
      <c r="G1222" s="791"/>
      <c r="H1222" s="791"/>
      <c r="I1222" s="791"/>
      <c r="J1222" s="792"/>
      <c r="K1222" s="788"/>
      <c r="L1222" s="788"/>
      <c r="M1222" s="788"/>
      <c r="N1222" s="788"/>
      <c r="O1222" s="788"/>
      <c r="P1222" s="788"/>
      <c r="Q1222" s="788"/>
      <c r="R1222" s="788"/>
      <c r="S1222" s="788"/>
      <c r="T1222" s="788"/>
      <c r="U1222" s="788"/>
      <c r="V1222" s="788"/>
      <c r="W1222" s="788"/>
      <c r="X1222" s="788"/>
      <c r="Y1222" s="788"/>
    </row>
    <row r="1223" spans="4:25">
      <c r="D1223" s="9"/>
      <c r="E1223" s="788" t="s">
        <v>1129</v>
      </c>
      <c r="F1223" s="788"/>
      <c r="G1223" s="788"/>
      <c r="H1223" s="788"/>
      <c r="I1223" s="788"/>
      <c r="J1223" s="788"/>
      <c r="K1223" s="788"/>
      <c r="L1223" s="788"/>
      <c r="M1223" s="788"/>
      <c r="N1223" s="788"/>
      <c r="O1223" s="788"/>
      <c r="P1223" s="788"/>
      <c r="Q1223" s="788"/>
      <c r="R1223" s="788"/>
      <c r="S1223" s="788"/>
      <c r="T1223" s="788"/>
      <c r="U1223" s="788"/>
      <c r="V1223" s="788"/>
      <c r="W1223" s="788"/>
      <c r="X1223" s="788"/>
      <c r="Y1223" s="788"/>
    </row>
    <row r="1224" spans="4:25">
      <c r="D1224" s="9"/>
      <c r="E1224" s="788">
        <f>+'2.Capex Details'!C82</f>
        <v>0</v>
      </c>
      <c r="F1224" s="788"/>
      <c r="G1224" s="788"/>
      <c r="H1224" s="788"/>
      <c r="I1224" s="788"/>
      <c r="J1224" s="788"/>
      <c r="K1224" s="788"/>
      <c r="L1224" s="788"/>
      <c r="M1224" s="788"/>
      <c r="N1224" s="795">
        <f>+U1224/Q1224</f>
        <v>0</v>
      </c>
      <c r="O1224" s="795"/>
      <c r="P1224" s="795"/>
      <c r="Q1224" s="795">
        <v>4</v>
      </c>
      <c r="R1224" s="795"/>
      <c r="S1224" s="795"/>
      <c r="T1224" s="795"/>
      <c r="U1224" s="788">
        <f>+'2.Capex Details'!G82</f>
        <v>0</v>
      </c>
      <c r="V1224" s="788"/>
      <c r="W1224" s="788"/>
      <c r="X1224" s="788"/>
      <c r="Y1224" s="788"/>
    </row>
    <row r="1225" spans="4:25">
      <c r="D1225" s="9"/>
      <c r="E1225" s="788" t="e">
        <f>+'2.Capex Details'!#REF!</f>
        <v>#REF!</v>
      </c>
      <c r="F1225" s="788"/>
      <c r="G1225" s="788"/>
      <c r="H1225" s="788"/>
      <c r="I1225" s="788"/>
      <c r="J1225" s="788"/>
      <c r="K1225" s="788"/>
      <c r="L1225" s="788"/>
      <c r="M1225" s="788"/>
      <c r="N1225" s="795" t="e">
        <f t="shared" ref="N1225:N1231" si="3">+U1225/Q1225</f>
        <v>#REF!</v>
      </c>
      <c r="O1225" s="795"/>
      <c r="P1225" s="795"/>
      <c r="Q1225" s="795">
        <v>1</v>
      </c>
      <c r="R1225" s="795"/>
      <c r="S1225" s="795"/>
      <c r="T1225" s="795"/>
      <c r="U1225" s="788" t="e">
        <f>+'2.Capex Details'!#REF!</f>
        <v>#REF!</v>
      </c>
      <c r="V1225" s="788"/>
      <c r="W1225" s="788"/>
      <c r="X1225" s="788"/>
      <c r="Y1225" s="788"/>
    </row>
    <row r="1226" spans="4:25">
      <c r="D1226" s="9"/>
      <c r="E1226" s="788" t="e">
        <f>+'2.Capex Details'!#REF!</f>
        <v>#REF!</v>
      </c>
      <c r="F1226" s="788"/>
      <c r="G1226" s="788"/>
      <c r="H1226" s="788"/>
      <c r="I1226" s="788"/>
      <c r="J1226" s="788"/>
      <c r="K1226" s="788"/>
      <c r="L1226" s="788"/>
      <c r="M1226" s="788"/>
      <c r="N1226" s="795" t="e">
        <f t="shared" si="3"/>
        <v>#REF!</v>
      </c>
      <c r="O1226" s="795"/>
      <c r="P1226" s="795"/>
      <c r="Q1226" s="795">
        <v>1</v>
      </c>
      <c r="R1226" s="795"/>
      <c r="S1226" s="795"/>
      <c r="T1226" s="795"/>
      <c r="U1226" s="788" t="e">
        <f>+'2.Capex Details'!#REF!</f>
        <v>#REF!</v>
      </c>
      <c r="V1226" s="788"/>
      <c r="W1226" s="788"/>
      <c r="X1226" s="788"/>
      <c r="Y1226" s="788"/>
    </row>
    <row r="1227" spans="4:25">
      <c r="D1227" s="9"/>
      <c r="E1227" s="788" t="e">
        <f>+'2.Capex Details'!#REF!</f>
        <v>#REF!</v>
      </c>
      <c r="F1227" s="788"/>
      <c r="G1227" s="788"/>
      <c r="H1227" s="788"/>
      <c r="I1227" s="788"/>
      <c r="J1227" s="788"/>
      <c r="K1227" s="788"/>
      <c r="L1227" s="788"/>
      <c r="M1227" s="788"/>
      <c r="N1227" s="795" t="e">
        <f t="shared" si="3"/>
        <v>#REF!</v>
      </c>
      <c r="O1227" s="795"/>
      <c r="P1227" s="795"/>
      <c r="Q1227" s="795">
        <v>1</v>
      </c>
      <c r="R1227" s="795"/>
      <c r="S1227" s="795"/>
      <c r="T1227" s="795"/>
      <c r="U1227" s="788" t="e">
        <f>+'2.Capex Details'!#REF!</f>
        <v>#REF!</v>
      </c>
      <c r="V1227" s="788"/>
      <c r="W1227" s="788"/>
      <c r="X1227" s="788"/>
      <c r="Y1227" s="788"/>
    </row>
    <row r="1228" spans="4:25">
      <c r="D1228" s="9"/>
      <c r="E1228" s="788" t="e">
        <f>+'2.Capex Details'!#REF!</f>
        <v>#REF!</v>
      </c>
      <c r="F1228" s="788"/>
      <c r="G1228" s="788"/>
      <c r="H1228" s="788"/>
      <c r="I1228" s="788"/>
      <c r="J1228" s="788"/>
      <c r="K1228" s="788"/>
      <c r="L1228" s="788"/>
      <c r="M1228" s="788"/>
      <c r="N1228" s="795" t="e">
        <f t="shared" si="3"/>
        <v>#REF!</v>
      </c>
      <c r="O1228" s="795"/>
      <c r="P1228" s="795"/>
      <c r="Q1228" s="795">
        <v>1</v>
      </c>
      <c r="R1228" s="795"/>
      <c r="S1228" s="795"/>
      <c r="T1228" s="795"/>
      <c r="U1228" s="788" t="e">
        <f>+'2.Capex Details'!#REF!</f>
        <v>#REF!</v>
      </c>
      <c r="V1228" s="788"/>
      <c r="W1228" s="788"/>
      <c r="X1228" s="788"/>
      <c r="Y1228" s="788"/>
    </row>
    <row r="1229" spans="4:25">
      <c r="D1229" s="9"/>
      <c r="E1229" s="788" t="e">
        <f>+'2.Capex Details'!#REF!</f>
        <v>#REF!</v>
      </c>
      <c r="F1229" s="788"/>
      <c r="G1229" s="788"/>
      <c r="H1229" s="788"/>
      <c r="I1229" s="788"/>
      <c r="J1229" s="788"/>
      <c r="K1229" s="788"/>
      <c r="L1229" s="788"/>
      <c r="M1229" s="788"/>
      <c r="N1229" s="795" t="e">
        <f t="shared" si="3"/>
        <v>#REF!</v>
      </c>
      <c r="O1229" s="795"/>
      <c r="P1229" s="795"/>
      <c r="Q1229" s="795">
        <v>1</v>
      </c>
      <c r="R1229" s="795"/>
      <c r="S1229" s="795"/>
      <c r="T1229" s="795"/>
      <c r="U1229" s="788" t="e">
        <f>+'2.Capex Details'!#REF!</f>
        <v>#REF!</v>
      </c>
      <c r="V1229" s="788"/>
      <c r="W1229" s="788"/>
      <c r="X1229" s="788"/>
      <c r="Y1229" s="788"/>
    </row>
    <row r="1230" spans="4:25">
      <c r="D1230" s="9"/>
      <c r="E1230" s="788" t="e">
        <f>+'2.Capex Details'!#REF!</f>
        <v>#REF!</v>
      </c>
      <c r="F1230" s="788"/>
      <c r="G1230" s="788"/>
      <c r="H1230" s="788"/>
      <c r="I1230" s="788"/>
      <c r="J1230" s="788"/>
      <c r="K1230" s="788"/>
      <c r="L1230" s="788"/>
      <c r="M1230" s="788"/>
      <c r="N1230" s="795" t="e">
        <f t="shared" si="3"/>
        <v>#REF!</v>
      </c>
      <c r="O1230" s="795"/>
      <c r="P1230" s="795"/>
      <c r="Q1230" s="795">
        <v>1</v>
      </c>
      <c r="R1230" s="795"/>
      <c r="S1230" s="795"/>
      <c r="T1230" s="795"/>
      <c r="U1230" s="788" t="e">
        <f>+'2.Capex Details'!#REF!</f>
        <v>#REF!</v>
      </c>
      <c r="V1230" s="788"/>
      <c r="W1230" s="788"/>
      <c r="X1230" s="788"/>
      <c r="Y1230" s="788"/>
    </row>
    <row r="1231" spans="4:25">
      <c r="D1231" s="9"/>
      <c r="E1231" s="788" t="e">
        <f>+'2.Capex Details'!#REF!</f>
        <v>#REF!</v>
      </c>
      <c r="F1231" s="788"/>
      <c r="G1231" s="788"/>
      <c r="H1231" s="788"/>
      <c r="I1231" s="788"/>
      <c r="J1231" s="788"/>
      <c r="K1231" s="788"/>
      <c r="L1231" s="788"/>
      <c r="M1231" s="788"/>
      <c r="N1231" s="795" t="e">
        <f t="shared" si="3"/>
        <v>#REF!</v>
      </c>
      <c r="O1231" s="795"/>
      <c r="P1231" s="795"/>
      <c r="Q1231" s="795">
        <v>1</v>
      </c>
      <c r="R1231" s="795"/>
      <c r="S1231" s="795"/>
      <c r="T1231" s="795"/>
      <c r="U1231" s="788" t="e">
        <f>+'2.Capex Details'!#REF!</f>
        <v>#REF!</v>
      </c>
      <c r="V1231" s="788"/>
      <c r="W1231" s="788"/>
      <c r="X1231" s="788"/>
      <c r="Y1231" s="788"/>
    </row>
    <row r="1232" spans="4:25">
      <c r="D1232" s="9"/>
      <c r="E1232" s="788"/>
      <c r="F1232" s="788"/>
      <c r="G1232" s="788"/>
      <c r="H1232" s="788"/>
      <c r="I1232" s="788"/>
      <c r="J1232" s="788"/>
      <c r="K1232" s="788"/>
      <c r="L1232" s="788"/>
      <c r="M1232" s="788"/>
      <c r="N1232" s="795"/>
      <c r="O1232" s="795"/>
      <c r="P1232" s="795"/>
      <c r="Q1232" s="795"/>
      <c r="R1232" s="795"/>
      <c r="S1232" s="795"/>
      <c r="T1232" s="795"/>
      <c r="U1232" s="795"/>
      <c r="V1232" s="795"/>
      <c r="W1232" s="795"/>
      <c r="X1232" s="795"/>
      <c r="Y1232" s="795"/>
    </row>
    <row r="1233" spans="4:25">
      <c r="D1233" s="9"/>
      <c r="E1233" s="788" t="str">
        <f>+'2.Capex Details'!C127</f>
        <v>Insulated/ non-insulated distribution vehicle</v>
      </c>
      <c r="F1233" s="788"/>
      <c r="G1233" s="788"/>
      <c r="H1233" s="788"/>
      <c r="I1233" s="788"/>
      <c r="J1233" s="788"/>
      <c r="K1233" s="788"/>
      <c r="L1233" s="788"/>
      <c r="M1233" s="788"/>
      <c r="N1233" s="795">
        <f>+'2.Capex Details'!F127</f>
        <v>3099600</v>
      </c>
      <c r="O1233" s="795"/>
      <c r="P1233" s="795"/>
      <c r="Q1233" s="795">
        <f>+'2.Capex Details'!E127</f>
        <v>2</v>
      </c>
      <c r="R1233" s="795"/>
      <c r="S1233" s="795"/>
      <c r="T1233" s="795"/>
      <c r="U1233" s="795">
        <f>+'2.Capex Details'!G127</f>
        <v>0</v>
      </c>
      <c r="V1233" s="795"/>
      <c r="W1233" s="795"/>
      <c r="X1233" s="795"/>
      <c r="Y1233" s="795"/>
    </row>
    <row r="1234" spans="4:25">
      <c r="D1234" s="9"/>
      <c r="E1234" s="788" t="str">
        <f>+'2.Capex Details'!C128</f>
        <v>Tata 1212 LPT DCR 42HSD 125 B6 M5</v>
      </c>
      <c r="F1234" s="788"/>
      <c r="G1234" s="788"/>
      <c r="H1234" s="788"/>
      <c r="I1234" s="788"/>
      <c r="J1234" s="788"/>
      <c r="K1234" s="788"/>
      <c r="L1234" s="788"/>
      <c r="M1234" s="788"/>
      <c r="N1234" s="795">
        <f>+'2.Capex Details'!F130</f>
        <v>1480000</v>
      </c>
      <c r="O1234" s="795"/>
      <c r="P1234" s="795"/>
      <c r="Q1234" s="795">
        <f>+'2.Capex Details'!E130</f>
        <v>1</v>
      </c>
      <c r="R1234" s="795"/>
      <c r="S1234" s="795"/>
      <c r="T1234" s="795"/>
      <c r="U1234" s="795">
        <f>+'2.Capex Details'!G130</f>
        <v>0</v>
      </c>
      <c r="V1234" s="795"/>
      <c r="W1234" s="795"/>
      <c r="X1234" s="795"/>
      <c r="Y1234" s="795"/>
    </row>
    <row r="1235" spans="4:25">
      <c r="D1235" s="9"/>
      <c r="E1235" s="788" t="str">
        <f>+'2.Capex Details'!C129</f>
        <v>Tata  1518 LPT DCR 42 HSD</v>
      </c>
      <c r="F1235" s="788"/>
      <c r="G1235" s="788"/>
      <c r="H1235" s="788"/>
      <c r="I1235" s="788"/>
      <c r="J1235" s="788"/>
      <c r="K1235" s="788"/>
      <c r="L1235" s="788"/>
      <c r="M1235" s="788"/>
      <c r="N1235" s="795">
        <f>+'2.Capex Details'!F131</f>
        <v>955144</v>
      </c>
      <c r="O1235" s="795"/>
      <c r="P1235" s="795"/>
      <c r="Q1235" s="795">
        <f>+'2.Capex Details'!E131</f>
        <v>0</v>
      </c>
      <c r="R1235" s="795"/>
      <c r="S1235" s="795"/>
      <c r="T1235" s="795"/>
      <c r="U1235" s="795">
        <f>+'2.Capex Details'!G131</f>
        <v>0</v>
      </c>
      <c r="V1235" s="795"/>
      <c r="W1235" s="795"/>
      <c r="X1235" s="795"/>
      <c r="Y1235" s="795"/>
    </row>
    <row r="1236" spans="4:25">
      <c r="D1236" s="9"/>
      <c r="E1236" s="788"/>
      <c r="F1236" s="788"/>
      <c r="G1236" s="788"/>
      <c r="H1236" s="788"/>
      <c r="I1236" s="788"/>
      <c r="J1236" s="788"/>
      <c r="K1236" s="788"/>
      <c r="L1236" s="788"/>
      <c r="M1236" s="788"/>
      <c r="N1236" s="795"/>
      <c r="O1236" s="795"/>
      <c r="P1236" s="795"/>
      <c r="Q1236" s="795"/>
      <c r="R1236" s="795"/>
      <c r="S1236" s="795"/>
      <c r="T1236" s="795"/>
      <c r="U1236" s="795"/>
      <c r="V1236" s="795"/>
      <c r="W1236" s="795"/>
      <c r="X1236" s="795"/>
      <c r="Y1236" s="795"/>
    </row>
    <row r="1237" spans="4:25">
      <c r="D1237" s="9"/>
      <c r="E1237" s="788" t="s">
        <v>1130</v>
      </c>
      <c r="F1237" s="788"/>
      <c r="G1237" s="788"/>
      <c r="H1237" s="788"/>
      <c r="I1237" s="788"/>
      <c r="J1237" s="788"/>
      <c r="K1237" s="788"/>
      <c r="L1237" s="788"/>
      <c r="M1237" s="788"/>
      <c r="N1237" s="795"/>
      <c r="O1237" s="795"/>
      <c r="P1237" s="795"/>
      <c r="Q1237" s="795"/>
      <c r="R1237" s="795"/>
      <c r="S1237" s="795"/>
      <c r="T1237" s="795"/>
      <c r="U1237" s="795"/>
      <c r="V1237" s="795"/>
      <c r="W1237" s="795"/>
      <c r="X1237" s="795"/>
      <c r="Y1237" s="795"/>
    </row>
    <row r="1238" spans="4:25">
      <c r="D1238" s="9"/>
      <c r="E1238" s="788"/>
      <c r="F1238" s="788"/>
      <c r="G1238" s="788"/>
      <c r="H1238" s="788"/>
      <c r="I1238" s="788"/>
      <c r="J1238" s="788"/>
      <c r="K1238" s="788"/>
      <c r="L1238" s="788"/>
      <c r="M1238" s="788"/>
      <c r="N1238" s="795"/>
      <c r="O1238" s="795"/>
      <c r="P1238" s="795"/>
      <c r="Q1238" s="795"/>
      <c r="R1238" s="795"/>
      <c r="S1238" s="795"/>
      <c r="T1238" s="795"/>
      <c r="U1238" s="795"/>
      <c r="V1238" s="795"/>
      <c r="W1238" s="795"/>
      <c r="X1238" s="795"/>
      <c r="Y1238" s="795"/>
    </row>
    <row r="1239" spans="4:25">
      <c r="D1239" s="9"/>
      <c r="E1239" s="794" t="s">
        <v>1131</v>
      </c>
      <c r="F1239" s="794"/>
      <c r="G1239" s="794"/>
      <c r="H1239" s="794"/>
      <c r="I1239" s="794"/>
      <c r="J1239" s="794"/>
      <c r="K1239" s="788"/>
      <c r="L1239" s="788"/>
      <c r="M1239" s="788"/>
      <c r="N1239" s="795"/>
      <c r="O1239" s="795"/>
      <c r="P1239" s="795"/>
      <c r="Q1239" s="795"/>
      <c r="R1239" s="795"/>
      <c r="S1239" s="795"/>
      <c r="T1239" s="795"/>
      <c r="U1239" s="796" t="e">
        <f>SUM(U1222:Y1238)</f>
        <v>#REF!</v>
      </c>
      <c r="V1239" s="796"/>
      <c r="W1239" s="796"/>
      <c r="X1239" s="796"/>
      <c r="Y1239" s="796"/>
    </row>
    <row r="1240" spans="4:25">
      <c r="D1240" s="9"/>
      <c r="E1240" s="510"/>
      <c r="F1240" s="511"/>
      <c r="G1240" s="511"/>
      <c r="H1240" s="511"/>
      <c r="I1240" s="511"/>
      <c r="J1240" s="511"/>
      <c r="K1240" s="507"/>
      <c r="L1240" s="507"/>
      <c r="M1240" s="507"/>
      <c r="N1240" s="507"/>
      <c r="O1240" s="507"/>
      <c r="P1240" s="507"/>
      <c r="Q1240" s="507"/>
      <c r="R1240" s="507"/>
      <c r="S1240" s="507"/>
      <c r="T1240" s="507"/>
      <c r="U1240" s="511"/>
      <c r="V1240" s="511"/>
      <c r="W1240" s="511"/>
      <c r="X1240" s="511"/>
      <c r="Y1240" s="512"/>
    </row>
    <row r="1241" spans="4:25">
      <c r="D1241" s="513"/>
      <c r="E1241" s="511"/>
      <c r="F1241" s="511"/>
      <c r="G1241" s="511"/>
      <c r="H1241" s="511"/>
      <c r="I1241" s="511"/>
      <c r="J1241" s="511"/>
      <c r="K1241" s="507"/>
      <c r="L1241" s="507"/>
      <c r="M1241" s="507"/>
      <c r="N1241" s="591"/>
      <c r="O1241" s="591"/>
      <c r="P1241" s="591"/>
      <c r="Q1241" s="591"/>
      <c r="R1241" s="591"/>
      <c r="S1241" s="591"/>
      <c r="T1241" s="591"/>
      <c r="U1241" s="593"/>
      <c r="V1241" s="593"/>
      <c r="W1241" s="593"/>
      <c r="X1241" s="593"/>
      <c r="Y1241" s="593"/>
    </row>
    <row r="1242" spans="4:25">
      <c r="D1242" s="513"/>
      <c r="E1242" s="507"/>
      <c r="F1242" s="507"/>
      <c r="G1242" s="507"/>
      <c r="H1242" s="507"/>
      <c r="I1242" s="507"/>
      <c r="J1242" s="507"/>
      <c r="K1242" s="507"/>
      <c r="L1242" s="507"/>
      <c r="M1242" s="507"/>
      <c r="N1242" s="507"/>
      <c r="O1242" s="507"/>
      <c r="P1242" s="507"/>
      <c r="Q1242" s="507"/>
      <c r="R1242" s="507"/>
      <c r="S1242" s="507"/>
      <c r="T1242" s="507"/>
      <c r="U1242" s="507"/>
      <c r="V1242" s="507"/>
      <c r="W1242" s="507"/>
      <c r="X1242" s="507"/>
      <c r="Y1242" s="507"/>
    </row>
    <row r="1243" spans="4:25" ht="30">
      <c r="D1243" s="476" t="s">
        <v>1114</v>
      </c>
      <c r="E1243" s="845" t="s">
        <v>1124</v>
      </c>
      <c r="F1243" s="845"/>
      <c r="G1243" s="845"/>
      <c r="H1243" s="845"/>
      <c r="I1243" s="845"/>
      <c r="J1243" s="845"/>
      <c r="K1243" s="845" t="s">
        <v>1125</v>
      </c>
      <c r="L1243" s="845"/>
      <c r="M1243" s="845"/>
      <c r="N1243" s="845" t="s">
        <v>1126</v>
      </c>
      <c r="O1243" s="845"/>
      <c r="P1243" s="845"/>
      <c r="Q1243" s="845" t="s">
        <v>902</v>
      </c>
      <c r="R1243" s="845"/>
      <c r="S1243" s="845"/>
      <c r="T1243" s="845"/>
      <c r="U1243" s="845" t="s">
        <v>1127</v>
      </c>
      <c r="V1243" s="845"/>
      <c r="W1243" s="845"/>
      <c r="X1243" s="845"/>
      <c r="Y1243" s="845"/>
    </row>
    <row r="1244" spans="4:25">
      <c r="D1244" s="9"/>
      <c r="E1244" s="837" t="s">
        <v>1512</v>
      </c>
      <c r="F1244" s="838"/>
      <c r="G1244" s="838"/>
      <c r="H1244" s="838"/>
      <c r="I1244" s="838"/>
      <c r="J1244" s="838"/>
      <c r="K1244" s="838"/>
      <c r="L1244" s="838"/>
      <c r="M1244" s="838"/>
      <c r="N1244" s="838">
        <f>+'2.Capex Details'!C112</f>
        <v>0</v>
      </c>
      <c r="O1244" s="838"/>
      <c r="P1244" s="838"/>
      <c r="Q1244" s="838"/>
      <c r="R1244" s="838"/>
      <c r="S1244" s="838"/>
      <c r="T1244" s="838"/>
      <c r="U1244" s="838"/>
      <c r="V1244" s="838"/>
      <c r="W1244" s="838"/>
      <c r="X1244" s="838"/>
      <c r="Y1244" s="839"/>
    </row>
    <row r="1245" spans="4:25">
      <c r="D1245" s="9"/>
      <c r="E1245" s="788" t="s">
        <v>1128</v>
      </c>
      <c r="F1245" s="788"/>
      <c r="G1245" s="788"/>
      <c r="H1245" s="788"/>
      <c r="I1245" s="788"/>
      <c r="J1245" s="788"/>
      <c r="K1245" s="788"/>
      <c r="L1245" s="788"/>
      <c r="M1245" s="788"/>
      <c r="N1245" s="795"/>
      <c r="O1245" s="795"/>
      <c r="P1245" s="795"/>
      <c r="Q1245" s="795"/>
      <c r="R1245" s="795"/>
      <c r="S1245" s="795"/>
      <c r="T1245" s="795"/>
      <c r="U1245" s="795"/>
      <c r="V1245" s="795"/>
      <c r="W1245" s="795"/>
      <c r="X1245" s="795"/>
      <c r="Y1245" s="795"/>
    </row>
    <row r="1246" spans="4:25">
      <c r="D1246" s="9"/>
      <c r="E1246" s="788"/>
      <c r="F1246" s="788"/>
      <c r="G1246" s="788"/>
      <c r="H1246" s="788"/>
      <c r="I1246" s="788"/>
      <c r="J1246" s="788"/>
      <c r="K1246" s="788"/>
      <c r="L1246" s="788"/>
      <c r="M1246" s="788"/>
      <c r="N1246" s="795"/>
      <c r="O1246" s="795"/>
      <c r="P1246" s="795"/>
      <c r="Q1246" s="795"/>
      <c r="R1246" s="795"/>
      <c r="S1246" s="795"/>
      <c r="T1246" s="795"/>
      <c r="U1246" s="795"/>
      <c r="V1246" s="795"/>
      <c r="W1246" s="795"/>
      <c r="X1246" s="795"/>
      <c r="Y1246" s="795"/>
    </row>
    <row r="1247" spans="4:25">
      <c r="D1247" s="9"/>
      <c r="E1247" s="788"/>
      <c r="F1247" s="788"/>
      <c r="G1247" s="788"/>
      <c r="H1247" s="788"/>
      <c r="I1247" s="788"/>
      <c r="J1247" s="788"/>
      <c r="K1247" s="788"/>
      <c r="L1247" s="788"/>
      <c r="M1247" s="788"/>
      <c r="N1247" s="795"/>
      <c r="O1247" s="795"/>
      <c r="P1247" s="795"/>
      <c r="Q1247" s="1059"/>
      <c r="R1247" s="1060"/>
      <c r="S1247" s="1060"/>
      <c r="T1247" s="1061"/>
      <c r="U1247" s="795"/>
      <c r="V1247" s="795"/>
      <c r="W1247" s="795"/>
      <c r="X1247" s="795"/>
      <c r="Y1247" s="795"/>
    </row>
    <row r="1248" spans="4:25">
      <c r="D1248" s="9"/>
      <c r="E1248" s="788"/>
      <c r="F1248" s="788"/>
      <c r="G1248" s="788"/>
      <c r="H1248" s="788"/>
      <c r="I1248" s="788"/>
      <c r="J1248" s="788"/>
      <c r="K1248" s="788"/>
      <c r="L1248" s="788"/>
      <c r="M1248" s="788"/>
      <c r="N1248" s="795"/>
      <c r="O1248" s="795"/>
      <c r="P1248" s="795"/>
      <c r="Q1248" s="795"/>
      <c r="R1248" s="795"/>
      <c r="S1248" s="795"/>
      <c r="T1248" s="795"/>
      <c r="U1248" s="795"/>
      <c r="V1248" s="795"/>
      <c r="W1248" s="795"/>
      <c r="X1248" s="795"/>
      <c r="Y1248" s="795"/>
    </row>
    <row r="1249" spans="4:25">
      <c r="D1249" s="9"/>
      <c r="E1249" s="788"/>
      <c r="F1249" s="788"/>
      <c r="G1249" s="788"/>
      <c r="H1249" s="788"/>
      <c r="I1249" s="788"/>
      <c r="J1249" s="788"/>
      <c r="K1249" s="788"/>
      <c r="L1249" s="788"/>
      <c r="M1249" s="788"/>
      <c r="N1249" s="795"/>
      <c r="O1249" s="795"/>
      <c r="P1249" s="795"/>
      <c r="Q1249" s="795"/>
      <c r="R1249" s="795"/>
      <c r="S1249" s="795"/>
      <c r="T1249" s="795"/>
      <c r="U1249" s="795"/>
      <c r="V1249" s="795"/>
      <c r="W1249" s="795"/>
      <c r="X1249" s="795"/>
      <c r="Y1249" s="795"/>
    </row>
    <row r="1250" spans="4:25">
      <c r="D1250" s="9"/>
      <c r="E1250" s="788" t="s">
        <v>1129</v>
      </c>
      <c r="F1250" s="788"/>
      <c r="G1250" s="788"/>
      <c r="H1250" s="788"/>
      <c r="I1250" s="788"/>
      <c r="J1250" s="788"/>
      <c r="K1250" s="788"/>
      <c r="L1250" s="788"/>
      <c r="M1250" s="788"/>
      <c r="N1250" s="795"/>
      <c r="O1250" s="795"/>
      <c r="P1250" s="795"/>
      <c r="Q1250" s="795"/>
      <c r="R1250" s="795"/>
      <c r="S1250" s="795"/>
      <c r="T1250" s="795"/>
      <c r="U1250" s="795"/>
      <c r="V1250" s="795"/>
      <c r="W1250" s="795"/>
      <c r="X1250" s="795"/>
      <c r="Y1250" s="795"/>
    </row>
    <row r="1251" spans="4:25">
      <c r="D1251" s="9"/>
      <c r="E1251" s="788">
        <f>+'2.Capex Details'!C112</f>
        <v>0</v>
      </c>
      <c r="F1251" s="788"/>
      <c r="G1251" s="788"/>
      <c r="H1251" s="788"/>
      <c r="I1251" s="788"/>
      <c r="J1251" s="788"/>
      <c r="K1251" s="788"/>
      <c r="L1251" s="788"/>
      <c r="M1251" s="788"/>
      <c r="N1251" s="795"/>
      <c r="O1251" s="795"/>
      <c r="P1251" s="795"/>
      <c r="Q1251" s="795"/>
      <c r="R1251" s="795"/>
      <c r="S1251" s="795"/>
      <c r="T1251" s="795"/>
      <c r="U1251" s="795"/>
      <c r="V1251" s="795"/>
      <c r="W1251" s="795"/>
      <c r="X1251" s="795"/>
      <c r="Y1251" s="795"/>
    </row>
    <row r="1252" spans="4:25">
      <c r="D1252" s="9"/>
      <c r="E1252" s="788">
        <f>+'2.Capex Details'!C115</f>
        <v>0</v>
      </c>
      <c r="F1252" s="788"/>
      <c r="G1252" s="788"/>
      <c r="H1252" s="788"/>
      <c r="I1252" s="788"/>
      <c r="J1252" s="788"/>
      <c r="K1252" s="788"/>
      <c r="L1252" s="788"/>
      <c r="M1252" s="788"/>
      <c r="N1252" s="795">
        <f>+'2.Capex Details'!F115</f>
        <v>0</v>
      </c>
      <c r="O1252" s="795"/>
      <c r="P1252" s="795"/>
      <c r="Q1252" s="795">
        <f>+'2.Capex Details'!E115</f>
        <v>0</v>
      </c>
      <c r="R1252" s="795"/>
      <c r="S1252" s="795"/>
      <c r="T1252" s="795"/>
      <c r="U1252" s="795">
        <f>+'2.Capex Details'!G115</f>
        <v>0</v>
      </c>
      <c r="V1252" s="795"/>
      <c r="W1252" s="795"/>
      <c r="X1252" s="795"/>
      <c r="Y1252" s="795"/>
    </row>
    <row r="1253" spans="4:25">
      <c r="D1253" s="9"/>
      <c r="E1253" s="788">
        <f>+'2.Capex Details'!C116</f>
        <v>0</v>
      </c>
      <c r="F1253" s="788"/>
      <c r="G1253" s="788"/>
      <c r="H1253" s="788"/>
      <c r="I1253" s="788"/>
      <c r="J1253" s="788"/>
      <c r="K1253" s="788"/>
      <c r="L1253" s="788"/>
      <c r="M1253" s="788"/>
      <c r="N1253" s="795">
        <f>+'2.Capex Details'!F116</f>
        <v>0</v>
      </c>
      <c r="O1253" s="795"/>
      <c r="P1253" s="795"/>
      <c r="Q1253" s="795">
        <f>+'2.Capex Details'!E116</f>
        <v>0</v>
      </c>
      <c r="R1253" s="795"/>
      <c r="S1253" s="795"/>
      <c r="T1253" s="795"/>
      <c r="U1253" s="795">
        <f>+'2.Capex Details'!G116</f>
        <v>0</v>
      </c>
      <c r="V1253" s="795"/>
      <c r="W1253" s="795"/>
      <c r="X1253" s="795"/>
      <c r="Y1253" s="795"/>
    </row>
    <row r="1254" spans="4:25" hidden="1">
      <c r="D1254" s="9"/>
      <c r="E1254" s="788">
        <f>+'2.Capex Details'!C117</f>
        <v>0</v>
      </c>
      <c r="F1254" s="788"/>
      <c r="G1254" s="788"/>
      <c r="H1254" s="788"/>
      <c r="I1254" s="788"/>
      <c r="J1254" s="788"/>
      <c r="K1254" s="788"/>
      <c r="L1254" s="788"/>
      <c r="M1254" s="788"/>
      <c r="N1254" s="795">
        <f>+'2.Capex Details'!F117</f>
        <v>0</v>
      </c>
      <c r="O1254" s="795"/>
      <c r="P1254" s="795"/>
      <c r="Q1254" s="795">
        <f>+'2.Capex Details'!E117</f>
        <v>0</v>
      </c>
      <c r="R1254" s="795"/>
      <c r="S1254" s="795"/>
      <c r="T1254" s="795"/>
      <c r="U1254" s="795">
        <f>+'2.Capex Details'!G117</f>
        <v>0</v>
      </c>
      <c r="V1254" s="795"/>
      <c r="W1254" s="795"/>
      <c r="X1254" s="795"/>
      <c r="Y1254" s="795"/>
    </row>
    <row r="1255" spans="4:25">
      <c r="D1255" s="9"/>
      <c r="E1255" s="788">
        <f>+'2.Capex Details'!C118</f>
        <v>0</v>
      </c>
      <c r="F1255" s="788"/>
      <c r="G1255" s="788"/>
      <c r="H1255" s="788"/>
      <c r="I1255" s="788"/>
      <c r="J1255" s="788"/>
      <c r="K1255" s="788"/>
      <c r="L1255" s="788"/>
      <c r="M1255" s="788"/>
      <c r="N1255" s="795">
        <f>+'2.Capex Details'!F118</f>
        <v>0</v>
      </c>
      <c r="O1255" s="795"/>
      <c r="P1255" s="795"/>
      <c r="Q1255" s="795">
        <f>+'2.Capex Details'!E118</f>
        <v>0</v>
      </c>
      <c r="R1255" s="795"/>
      <c r="S1255" s="795"/>
      <c r="T1255" s="795"/>
      <c r="U1255" s="795">
        <f>+'2.Capex Details'!G118</f>
        <v>0</v>
      </c>
      <c r="V1255" s="795"/>
      <c r="W1255" s="795"/>
      <c r="X1255" s="795"/>
      <c r="Y1255" s="795"/>
    </row>
    <row r="1256" spans="4:25">
      <c r="D1256" s="9"/>
      <c r="E1256" s="788">
        <f>+'2.Capex Details'!C119</f>
        <v>0</v>
      </c>
      <c r="F1256" s="788"/>
      <c r="G1256" s="788"/>
      <c r="H1256" s="788"/>
      <c r="I1256" s="788"/>
      <c r="J1256" s="788"/>
      <c r="K1256" s="788"/>
      <c r="L1256" s="788"/>
      <c r="M1256" s="788"/>
      <c r="N1256" s="795"/>
      <c r="O1256" s="795"/>
      <c r="P1256" s="795"/>
      <c r="Q1256" s="795"/>
      <c r="R1256" s="795"/>
      <c r="S1256" s="795"/>
      <c r="T1256" s="795"/>
      <c r="U1256" s="795"/>
      <c r="V1256" s="795"/>
      <c r="W1256" s="795"/>
      <c r="X1256" s="795"/>
      <c r="Y1256" s="795"/>
    </row>
    <row r="1257" spans="4:25">
      <c r="D1257" s="9"/>
      <c r="E1257" s="788"/>
      <c r="F1257" s="788"/>
      <c r="G1257" s="788"/>
      <c r="H1257" s="788"/>
      <c r="I1257" s="788"/>
      <c r="J1257" s="788"/>
      <c r="K1257" s="788"/>
      <c r="L1257" s="788"/>
      <c r="M1257" s="788"/>
      <c r="N1257" s="795"/>
      <c r="O1257" s="795"/>
      <c r="P1257" s="795"/>
      <c r="Q1257" s="795"/>
      <c r="R1257" s="795"/>
      <c r="S1257" s="795"/>
      <c r="T1257" s="795"/>
      <c r="U1257" s="795"/>
      <c r="V1257" s="795"/>
      <c r="W1257" s="795"/>
      <c r="X1257" s="795"/>
      <c r="Y1257" s="795"/>
    </row>
    <row r="1258" spans="4:25">
      <c r="D1258" s="9"/>
      <c r="E1258" s="788"/>
      <c r="F1258" s="788"/>
      <c r="G1258" s="788"/>
      <c r="H1258" s="788"/>
      <c r="I1258" s="788"/>
      <c r="J1258" s="788"/>
      <c r="K1258" s="788"/>
      <c r="L1258" s="788"/>
      <c r="M1258" s="788"/>
      <c r="N1258" s="795"/>
      <c r="O1258" s="795"/>
      <c r="P1258" s="795"/>
      <c r="Q1258" s="795"/>
      <c r="R1258" s="795"/>
      <c r="S1258" s="795"/>
      <c r="T1258" s="795"/>
      <c r="U1258" s="795"/>
      <c r="V1258" s="795"/>
      <c r="W1258" s="795"/>
      <c r="X1258" s="795"/>
      <c r="Y1258" s="795"/>
    </row>
    <row r="1259" spans="4:25">
      <c r="D1259" s="9"/>
      <c r="E1259" s="788" t="s">
        <v>1130</v>
      </c>
      <c r="F1259" s="788"/>
      <c r="G1259" s="788"/>
      <c r="H1259" s="788"/>
      <c r="I1259" s="788"/>
      <c r="J1259" s="788"/>
      <c r="K1259" s="788"/>
      <c r="L1259" s="788"/>
      <c r="M1259" s="788"/>
      <c r="N1259" s="795"/>
      <c r="O1259" s="795"/>
      <c r="P1259" s="795"/>
      <c r="Q1259" s="795"/>
      <c r="R1259" s="795"/>
      <c r="S1259" s="795"/>
      <c r="T1259" s="795"/>
      <c r="U1259" s="795"/>
      <c r="V1259" s="795"/>
      <c r="W1259" s="795"/>
      <c r="X1259" s="795"/>
      <c r="Y1259" s="795"/>
    </row>
    <row r="1260" spans="4:25">
      <c r="D1260" s="9"/>
      <c r="E1260" s="788"/>
      <c r="F1260" s="788"/>
      <c r="G1260" s="788"/>
      <c r="H1260" s="788"/>
      <c r="I1260" s="788"/>
      <c r="J1260" s="788"/>
      <c r="K1260" s="788"/>
      <c r="L1260" s="788"/>
      <c r="M1260" s="788"/>
      <c r="N1260" s="795"/>
      <c r="O1260" s="795"/>
      <c r="P1260" s="795"/>
      <c r="Q1260" s="795"/>
      <c r="R1260" s="795"/>
      <c r="S1260" s="795"/>
      <c r="T1260" s="795"/>
      <c r="U1260" s="795"/>
      <c r="V1260" s="795"/>
      <c r="W1260" s="795"/>
      <c r="X1260" s="795"/>
      <c r="Y1260" s="795"/>
    </row>
    <row r="1261" spans="4:25">
      <c r="D1261" s="9"/>
      <c r="E1261" s="788"/>
      <c r="F1261" s="788"/>
      <c r="G1261" s="788"/>
      <c r="H1261" s="788"/>
      <c r="I1261" s="788"/>
      <c r="J1261" s="788"/>
      <c r="K1261" s="788"/>
      <c r="L1261" s="788"/>
      <c r="M1261" s="788"/>
      <c r="N1261" s="795"/>
      <c r="O1261" s="795"/>
      <c r="P1261" s="795"/>
      <c r="Q1261" s="795"/>
      <c r="R1261" s="795"/>
      <c r="S1261" s="795"/>
      <c r="T1261" s="795"/>
      <c r="U1261" s="795"/>
      <c r="V1261" s="795"/>
      <c r="W1261" s="795"/>
      <c r="X1261" s="795"/>
      <c r="Y1261" s="795"/>
    </row>
    <row r="1262" spans="4:25">
      <c r="D1262" s="9"/>
      <c r="E1262" s="788"/>
      <c r="F1262" s="788"/>
      <c r="G1262" s="788"/>
      <c r="H1262" s="788"/>
      <c r="I1262" s="788"/>
      <c r="J1262" s="788"/>
      <c r="K1262" s="788"/>
      <c r="L1262" s="788"/>
      <c r="M1262" s="788"/>
      <c r="N1262" s="795"/>
      <c r="O1262" s="795"/>
      <c r="P1262" s="795"/>
      <c r="Q1262" s="795"/>
      <c r="R1262" s="795"/>
      <c r="S1262" s="795"/>
      <c r="T1262" s="795"/>
      <c r="U1262" s="795"/>
      <c r="V1262" s="795"/>
      <c r="W1262" s="795"/>
      <c r="X1262" s="795"/>
      <c r="Y1262" s="795"/>
    </row>
    <row r="1263" spans="4:25">
      <c r="D1263" s="9"/>
      <c r="E1263" s="794" t="s">
        <v>1131</v>
      </c>
      <c r="F1263" s="794"/>
      <c r="G1263" s="794"/>
      <c r="H1263" s="794"/>
      <c r="I1263" s="794"/>
      <c r="J1263" s="794"/>
      <c r="K1263" s="788"/>
      <c r="L1263" s="788"/>
      <c r="M1263" s="788"/>
      <c r="N1263" s="795"/>
      <c r="O1263" s="795"/>
      <c r="P1263" s="795"/>
      <c r="Q1263" s="795"/>
      <c r="R1263" s="795"/>
      <c r="S1263" s="795"/>
      <c r="T1263" s="795"/>
      <c r="U1263" s="796">
        <f>SUM(U1246:Y1262)</f>
        <v>0</v>
      </c>
      <c r="V1263" s="796"/>
      <c r="W1263" s="796"/>
      <c r="X1263" s="796"/>
      <c r="Y1263" s="796"/>
    </row>
    <row r="1264" spans="4:25">
      <c r="D1264" s="9"/>
      <c r="E1264" s="506"/>
      <c r="F1264" s="507"/>
      <c r="G1264" s="507"/>
      <c r="H1264" s="507"/>
      <c r="I1264" s="507"/>
      <c r="J1264" s="507"/>
      <c r="K1264" s="507"/>
      <c r="L1264" s="507"/>
      <c r="M1264" s="507"/>
      <c r="N1264" s="507"/>
      <c r="O1264" s="507"/>
      <c r="P1264" s="507"/>
      <c r="Q1264" s="507"/>
      <c r="R1264" s="507"/>
      <c r="S1264" s="507"/>
      <c r="T1264" s="507"/>
      <c r="U1264" s="507"/>
      <c r="V1264" s="507"/>
      <c r="W1264" s="507"/>
      <c r="X1264" s="507"/>
      <c r="Y1264" s="508"/>
    </row>
    <row r="1265" spans="4:40">
      <c r="D1265" s="9"/>
      <c r="E1265" s="837" t="s">
        <v>1513</v>
      </c>
      <c r="F1265" s="838"/>
      <c r="G1265" s="838"/>
      <c r="H1265" s="838"/>
      <c r="I1265" s="838"/>
      <c r="J1265" s="838"/>
      <c r="K1265" s="838"/>
      <c r="L1265" s="838"/>
      <c r="M1265" s="838"/>
      <c r="N1265" s="838"/>
      <c r="O1265" s="838"/>
      <c r="P1265" s="838"/>
      <c r="Q1265" s="838"/>
      <c r="R1265" s="838"/>
      <c r="S1265" s="838"/>
      <c r="T1265" s="838"/>
      <c r="U1265" s="838"/>
      <c r="V1265" s="838"/>
      <c r="W1265" s="838"/>
      <c r="X1265" s="838"/>
      <c r="Y1265" s="839"/>
    </row>
    <row r="1266" spans="4:40" hidden="1">
      <c r="D1266" s="9"/>
      <c r="E1266" s="788" t="s">
        <v>1128</v>
      </c>
      <c r="F1266" s="788"/>
      <c r="G1266" s="788"/>
      <c r="H1266" s="788"/>
      <c r="I1266" s="788"/>
      <c r="J1266" s="788"/>
      <c r="K1266" s="788"/>
      <c r="L1266" s="788"/>
      <c r="M1266" s="788"/>
      <c r="N1266" s="795"/>
      <c r="O1266" s="795"/>
      <c r="P1266" s="795"/>
      <c r="Q1266" s="795"/>
      <c r="R1266" s="795"/>
      <c r="S1266" s="795"/>
      <c r="T1266" s="795"/>
      <c r="U1266" s="795"/>
      <c r="V1266" s="795"/>
      <c r="W1266" s="795"/>
      <c r="X1266" s="795"/>
      <c r="Y1266" s="795"/>
    </row>
    <row r="1267" spans="4:40" hidden="1">
      <c r="D1267" s="9"/>
      <c r="E1267" s="816" t="str">
        <f>+'2.Capex Details'!C8</f>
        <v>Office Building</v>
      </c>
      <c r="F1267" s="816"/>
      <c r="G1267" s="816"/>
      <c r="H1267" s="816"/>
      <c r="I1267" s="816"/>
      <c r="J1267" s="816"/>
      <c r="K1267" s="788"/>
      <c r="L1267" s="788"/>
      <c r="M1267" s="788"/>
      <c r="N1267" s="795">
        <f>+'2.Capex Details'!G8</f>
        <v>1500</v>
      </c>
      <c r="O1267" s="795"/>
      <c r="P1267" s="795"/>
      <c r="Q1267" s="795">
        <f>+'2.Capex Details'!F8</f>
        <v>1500</v>
      </c>
      <c r="R1267" s="795"/>
      <c r="S1267" s="795"/>
      <c r="T1267" s="795"/>
      <c r="U1267" s="795">
        <f>+'2.Capex Details'!H8</f>
        <v>0</v>
      </c>
      <c r="V1267" s="795"/>
      <c r="W1267" s="795"/>
      <c r="X1267" s="795"/>
      <c r="Y1267" s="795"/>
    </row>
    <row r="1268" spans="4:40" hidden="1">
      <c r="D1268" s="9"/>
      <c r="E1268" s="816" t="str">
        <f>+'2.Capex Details'!C9</f>
        <v>Shade for Collection center  I</v>
      </c>
      <c r="F1268" s="816"/>
      <c r="G1268" s="816"/>
      <c r="H1268" s="816"/>
      <c r="I1268" s="816"/>
      <c r="J1268" s="816"/>
      <c r="K1268" s="788"/>
      <c r="L1268" s="788"/>
      <c r="M1268" s="788"/>
      <c r="N1268" s="795">
        <f>+'2.Capex Details'!G9</f>
        <v>425</v>
      </c>
      <c r="O1268" s="795"/>
      <c r="P1268" s="795"/>
      <c r="Q1268" s="1059">
        <f>+'2.Capex Details'!F9</f>
        <v>400</v>
      </c>
      <c r="R1268" s="1060"/>
      <c r="S1268" s="1060"/>
      <c r="T1268" s="1061"/>
      <c r="U1268" s="795">
        <f>+'2.Capex Details'!H9</f>
        <v>0</v>
      </c>
      <c r="V1268" s="795"/>
      <c r="W1268" s="795"/>
      <c r="X1268" s="795"/>
      <c r="Y1268" s="795"/>
    </row>
    <row r="1269" spans="4:40" hidden="1">
      <c r="D1269" s="9"/>
      <c r="E1269" s="816" t="str">
        <f>+'2.Capex Details'!C10</f>
        <v>Shade for Collection center  II</v>
      </c>
      <c r="F1269" s="816"/>
      <c r="G1269" s="816"/>
      <c r="H1269" s="816"/>
      <c r="I1269" s="816"/>
      <c r="J1269" s="816"/>
      <c r="K1269" s="788"/>
      <c r="L1269" s="788"/>
      <c r="M1269" s="788"/>
      <c r="N1269" s="795">
        <f>+'2.Capex Details'!G10</f>
        <v>425</v>
      </c>
      <c r="O1269" s="795"/>
      <c r="P1269" s="795"/>
      <c r="Q1269" s="1059">
        <f>+'2.Capex Details'!F10</f>
        <v>400</v>
      </c>
      <c r="R1269" s="1060"/>
      <c r="S1269" s="1060"/>
      <c r="T1269" s="1061"/>
      <c r="U1269" s="795">
        <f>+'2.Capex Details'!H10</f>
        <v>0</v>
      </c>
      <c r="V1269" s="795"/>
      <c r="W1269" s="795"/>
      <c r="X1269" s="795"/>
      <c r="Y1269" s="795"/>
    </row>
    <row r="1270" spans="4:40" hidden="1">
      <c r="D1270" s="9"/>
      <c r="E1270" s="816" t="str">
        <f>+'2.Capex Details'!C11</f>
        <v>Shade for Collection center  III</v>
      </c>
      <c r="F1270" s="816"/>
      <c r="G1270" s="816"/>
      <c r="H1270" s="816"/>
      <c r="I1270" s="816"/>
      <c r="J1270" s="816"/>
      <c r="K1270" s="788"/>
      <c r="L1270" s="788"/>
      <c r="M1270" s="788"/>
      <c r="N1270" s="795">
        <f>+'2.Capex Details'!G11</f>
        <v>425</v>
      </c>
      <c r="O1270" s="795"/>
      <c r="P1270" s="795"/>
      <c r="Q1270" s="1059">
        <f>+'2.Capex Details'!F11</f>
        <v>400</v>
      </c>
      <c r="R1270" s="1060"/>
      <c r="S1270" s="1060"/>
      <c r="T1270" s="1061"/>
      <c r="U1270" s="795">
        <f>+'2.Capex Details'!H11</f>
        <v>0</v>
      </c>
      <c r="V1270" s="795"/>
      <c r="W1270" s="795"/>
      <c r="X1270" s="795"/>
      <c r="Y1270" s="795"/>
    </row>
    <row r="1271" spans="4:40" hidden="1">
      <c r="D1271" s="9"/>
      <c r="E1271" s="816" t="str">
        <f>+'2.Capex Details'!C12</f>
        <v>Shade for Collection center  IV</v>
      </c>
      <c r="F1271" s="816"/>
      <c r="G1271" s="816"/>
      <c r="H1271" s="816"/>
      <c r="I1271" s="816"/>
      <c r="J1271" s="816"/>
      <c r="K1271" s="788"/>
      <c r="L1271" s="788"/>
      <c r="M1271" s="788"/>
      <c r="N1271" s="795">
        <f>+'2.Capex Details'!G12</f>
        <v>425</v>
      </c>
      <c r="O1271" s="795"/>
      <c r="P1271" s="795"/>
      <c r="Q1271" s="1059">
        <f>+'2.Capex Details'!F12</f>
        <v>400</v>
      </c>
      <c r="R1271" s="1060"/>
      <c r="S1271" s="1060"/>
      <c r="T1271" s="1061"/>
      <c r="U1271" s="795">
        <f>+'2.Capex Details'!H12</f>
        <v>0</v>
      </c>
      <c r="V1271" s="795"/>
      <c r="W1271" s="795"/>
      <c r="X1271" s="795"/>
      <c r="Y1271" s="795"/>
    </row>
    <row r="1272" spans="4:40" hidden="1">
      <c r="D1272" s="9"/>
      <c r="E1272" s="816" t="str">
        <f>+'2.Capex Details'!C13</f>
        <v>Shade for Collection center  V</v>
      </c>
      <c r="F1272" s="816"/>
      <c r="G1272" s="816"/>
      <c r="H1272" s="816"/>
      <c r="I1272" s="816"/>
      <c r="J1272" s="816"/>
      <c r="K1272" s="788"/>
      <c r="L1272" s="788"/>
      <c r="M1272" s="788"/>
      <c r="N1272" s="795">
        <f>+'2.Capex Details'!G13</f>
        <v>425</v>
      </c>
      <c r="O1272" s="795"/>
      <c r="P1272" s="795"/>
      <c r="Q1272" s="1059">
        <f>+'2.Capex Details'!F13</f>
        <v>400</v>
      </c>
      <c r="R1272" s="1060"/>
      <c r="S1272" s="1060"/>
      <c r="T1272" s="1061"/>
      <c r="U1272" s="795">
        <f>+'2.Capex Details'!H13</f>
        <v>0</v>
      </c>
      <c r="V1272" s="795"/>
      <c r="W1272" s="795"/>
      <c r="X1272" s="795"/>
      <c r="Y1272" s="795"/>
    </row>
    <row r="1273" spans="4:40" hidden="1">
      <c r="D1273" s="9"/>
      <c r="E1273" s="788"/>
      <c r="F1273" s="788"/>
      <c r="G1273" s="788"/>
      <c r="H1273" s="788"/>
      <c r="I1273" s="788"/>
      <c r="J1273" s="788"/>
      <c r="K1273" s="788"/>
      <c r="L1273" s="788"/>
      <c r="M1273" s="788"/>
      <c r="N1273" s="795"/>
      <c r="O1273" s="795"/>
      <c r="P1273" s="795"/>
      <c r="Q1273" s="795"/>
      <c r="R1273" s="795"/>
      <c r="S1273" s="795"/>
      <c r="T1273" s="795"/>
      <c r="U1273" s="795"/>
      <c r="V1273" s="795"/>
      <c r="W1273" s="795"/>
      <c r="X1273" s="795"/>
      <c r="Y1273" s="795"/>
    </row>
    <row r="1274" spans="4:40">
      <c r="D1274" s="9"/>
      <c r="E1274" s="788"/>
      <c r="F1274" s="788"/>
      <c r="G1274" s="788"/>
      <c r="H1274" s="788"/>
      <c r="I1274" s="788"/>
      <c r="J1274" s="788"/>
      <c r="K1274" s="788"/>
      <c r="L1274" s="788"/>
      <c r="M1274" s="788"/>
      <c r="N1274" s="795"/>
      <c r="O1274" s="795"/>
      <c r="P1274" s="795"/>
      <c r="Q1274" s="795"/>
      <c r="R1274" s="795"/>
      <c r="S1274" s="795"/>
      <c r="T1274" s="795"/>
      <c r="U1274" s="795"/>
      <c r="V1274" s="795"/>
      <c r="W1274" s="795"/>
      <c r="X1274" s="795"/>
      <c r="Y1274" s="795"/>
    </row>
    <row r="1275" spans="4:40">
      <c r="D1275" s="9"/>
      <c r="E1275" s="788" t="s">
        <v>1129</v>
      </c>
      <c r="F1275" s="788"/>
      <c r="G1275" s="788"/>
      <c r="H1275" s="788"/>
      <c r="I1275" s="788"/>
      <c r="J1275" s="788"/>
      <c r="K1275" s="788"/>
      <c r="L1275" s="788"/>
      <c r="M1275" s="788"/>
      <c r="N1275" s="795"/>
      <c r="O1275" s="795"/>
      <c r="P1275" s="795"/>
      <c r="Q1275" s="795"/>
      <c r="R1275" s="795"/>
      <c r="S1275" s="795"/>
      <c r="T1275" s="795"/>
      <c r="U1275" s="795"/>
      <c r="V1275" s="795"/>
      <c r="W1275" s="795"/>
      <c r="X1275" s="795"/>
      <c r="Y1275" s="795"/>
      <c r="AN1275" t="e">
        <f>+U1217</f>
        <v>#REF!</v>
      </c>
    </row>
    <row r="1276" spans="4:40" hidden="1">
      <c r="D1276" s="9"/>
      <c r="E1276" s="788"/>
      <c r="F1276" s="788"/>
      <c r="G1276" s="788"/>
      <c r="H1276" s="788"/>
      <c r="I1276" s="788"/>
      <c r="J1276" s="788"/>
      <c r="K1276" s="788"/>
      <c r="L1276" s="788"/>
      <c r="M1276" s="788"/>
      <c r="N1276" s="795"/>
      <c r="O1276" s="795"/>
      <c r="P1276" s="795"/>
      <c r="Q1276" s="795"/>
      <c r="R1276" s="795"/>
      <c r="S1276" s="795"/>
      <c r="T1276" s="795"/>
      <c r="U1276" s="795"/>
      <c r="V1276" s="795"/>
      <c r="W1276" s="795"/>
      <c r="X1276" s="795"/>
      <c r="Y1276" s="795"/>
    </row>
    <row r="1277" spans="4:40" hidden="1">
      <c r="D1277" s="9"/>
      <c r="E1277" s="788"/>
      <c r="F1277" s="788"/>
      <c r="G1277" s="788"/>
      <c r="H1277" s="788"/>
      <c r="I1277" s="788"/>
      <c r="J1277" s="788"/>
      <c r="K1277" s="788"/>
      <c r="L1277" s="788"/>
      <c r="M1277" s="788"/>
      <c r="N1277" s="795"/>
      <c r="O1277" s="795"/>
      <c r="P1277" s="795"/>
      <c r="Q1277" s="795"/>
      <c r="R1277" s="795"/>
      <c r="S1277" s="795"/>
      <c r="T1277" s="795"/>
      <c r="U1277" s="795"/>
      <c r="V1277" s="795"/>
      <c r="W1277" s="795"/>
      <c r="X1277" s="795"/>
      <c r="Y1277" s="795"/>
    </row>
    <row r="1278" spans="4:40" hidden="1">
      <c r="D1278" s="9"/>
      <c r="E1278" s="788"/>
      <c r="F1278" s="788"/>
      <c r="G1278" s="788"/>
      <c r="H1278" s="788"/>
      <c r="I1278" s="788"/>
      <c r="J1278" s="788"/>
      <c r="K1278" s="788"/>
      <c r="L1278" s="788"/>
      <c r="M1278" s="788"/>
      <c r="N1278" s="795"/>
      <c r="O1278" s="795"/>
      <c r="P1278" s="795"/>
      <c r="Q1278" s="795"/>
      <c r="R1278" s="795"/>
      <c r="S1278" s="795"/>
      <c r="T1278" s="795"/>
      <c r="U1278" s="795"/>
      <c r="V1278" s="795"/>
      <c r="W1278" s="795"/>
      <c r="X1278" s="795"/>
      <c r="Y1278" s="795"/>
    </row>
    <row r="1279" spans="4:40">
      <c r="D1279" s="9"/>
      <c r="E1279" s="788"/>
      <c r="F1279" s="788"/>
      <c r="G1279" s="788"/>
      <c r="H1279" s="788"/>
      <c r="I1279" s="788"/>
      <c r="J1279" s="788"/>
      <c r="K1279" s="788"/>
      <c r="L1279" s="788"/>
      <c r="M1279" s="788"/>
      <c r="N1279" s="795"/>
      <c r="O1279" s="795"/>
      <c r="P1279" s="795"/>
      <c r="Q1279" s="795"/>
      <c r="R1279" s="795"/>
      <c r="S1279" s="795"/>
      <c r="T1279" s="795"/>
      <c r="U1279" s="795"/>
      <c r="V1279" s="795"/>
      <c r="W1279" s="795"/>
      <c r="X1279" s="795"/>
      <c r="Y1279" s="795"/>
      <c r="AN1279" t="e">
        <f>+#REF!</f>
        <v>#REF!</v>
      </c>
    </row>
    <row r="1280" spans="4:40">
      <c r="D1280" s="9"/>
      <c r="E1280" s="788" t="s">
        <v>1130</v>
      </c>
      <c r="F1280" s="788"/>
      <c r="G1280" s="788"/>
      <c r="H1280" s="788"/>
      <c r="I1280" s="788"/>
      <c r="J1280" s="788"/>
      <c r="K1280" s="788"/>
      <c r="L1280" s="788"/>
      <c r="M1280" s="788"/>
      <c r="N1280" s="795"/>
      <c r="O1280" s="795"/>
      <c r="P1280" s="795"/>
      <c r="Q1280" s="795"/>
      <c r="R1280" s="795"/>
      <c r="S1280" s="795"/>
      <c r="T1280" s="795"/>
      <c r="U1280" s="795"/>
      <c r="V1280" s="795"/>
      <c r="W1280" s="795"/>
      <c r="X1280" s="795"/>
      <c r="Y1280" s="795"/>
      <c r="AN1280">
        <f>+U1263</f>
        <v>0</v>
      </c>
    </row>
    <row r="1281" spans="4:40">
      <c r="D1281" s="9"/>
      <c r="E1281" s="788" t="str">
        <f>+'1.Project Cost and MOF (2)'!C10</f>
        <v>Preliminary Expenses</v>
      </c>
      <c r="F1281" s="788"/>
      <c r="G1281" s="788"/>
      <c r="H1281" s="788"/>
      <c r="I1281" s="788"/>
      <c r="J1281" s="788"/>
      <c r="K1281" s="788"/>
      <c r="L1281" s="788"/>
      <c r="M1281" s="788"/>
      <c r="N1281" s="795"/>
      <c r="O1281" s="795"/>
      <c r="P1281" s="795"/>
      <c r="Q1281" s="795"/>
      <c r="R1281" s="795"/>
      <c r="S1281" s="795"/>
      <c r="T1281" s="795"/>
      <c r="U1281" s="795">
        <f>+'1.Project Cost and MOF (2)'!D10</f>
        <v>1883203</v>
      </c>
      <c r="V1281" s="795"/>
      <c r="W1281" s="795"/>
      <c r="X1281" s="795"/>
      <c r="Y1281" s="795"/>
      <c r="AN1281">
        <f>+U1105</f>
        <v>6389200</v>
      </c>
    </row>
    <row r="1282" spans="4:40">
      <c r="D1282" s="9"/>
      <c r="E1282" s="788" t="str">
        <f>+'1.Project Cost and MOF (2)'!C7</f>
        <v>Furniture and Fixture</v>
      </c>
      <c r="F1282" s="788"/>
      <c r="G1282" s="788"/>
      <c r="H1282" s="788"/>
      <c r="I1282" s="788"/>
      <c r="J1282" s="788"/>
      <c r="K1282" s="788"/>
      <c r="L1282" s="788"/>
      <c r="M1282" s="788"/>
      <c r="N1282" s="795"/>
      <c r="O1282" s="795"/>
      <c r="P1282" s="795"/>
      <c r="Q1282" s="795"/>
      <c r="R1282" s="795"/>
      <c r="S1282" s="795"/>
      <c r="T1282" s="795"/>
      <c r="U1282" s="795">
        <f>+'2.Capex Details'!G104</f>
        <v>0</v>
      </c>
      <c r="V1282" s="795"/>
      <c r="W1282" s="795"/>
      <c r="X1282" s="795"/>
      <c r="Y1282" s="795"/>
      <c r="AN1282" t="e">
        <f>+U1153</f>
        <v>#REF!</v>
      </c>
    </row>
    <row r="1283" spans="4:40">
      <c r="D1283" s="9"/>
      <c r="E1283" s="788"/>
      <c r="F1283" s="788"/>
      <c r="G1283" s="788"/>
      <c r="H1283" s="788"/>
      <c r="I1283" s="788"/>
      <c r="J1283" s="788"/>
      <c r="K1283" s="788"/>
      <c r="L1283" s="788"/>
      <c r="M1283" s="788"/>
      <c r="N1283" s="795"/>
      <c r="O1283" s="795"/>
      <c r="P1283" s="795"/>
      <c r="Q1283" s="795"/>
      <c r="R1283" s="795"/>
      <c r="S1283" s="795"/>
      <c r="T1283" s="795"/>
      <c r="U1283" s="795"/>
      <c r="V1283" s="795"/>
      <c r="W1283" s="795"/>
      <c r="X1283" s="795"/>
      <c r="Y1283" s="795"/>
      <c r="AN1283" t="e">
        <f>+U1195</f>
        <v>#REF!</v>
      </c>
    </row>
    <row r="1284" spans="4:40">
      <c r="D1284" s="9"/>
      <c r="E1284" s="794" t="s">
        <v>1131</v>
      </c>
      <c r="F1284" s="794"/>
      <c r="G1284" s="794"/>
      <c r="H1284" s="794"/>
      <c r="I1284" s="794"/>
      <c r="J1284" s="794"/>
      <c r="K1284" s="788"/>
      <c r="L1284" s="788"/>
      <c r="M1284" s="788"/>
      <c r="N1284" s="795"/>
      <c r="O1284" s="795"/>
      <c r="P1284" s="795"/>
      <c r="Q1284" s="795"/>
      <c r="R1284" s="795"/>
      <c r="S1284" s="795"/>
      <c r="T1284" s="795"/>
      <c r="U1284" s="796">
        <f>SUM(U1267:Y1283)</f>
        <v>1883203</v>
      </c>
      <c r="V1284" s="796"/>
      <c r="W1284" s="796"/>
      <c r="X1284" s="796"/>
      <c r="Y1284" s="796"/>
      <c r="AN1284">
        <f>+U1284</f>
        <v>1883203</v>
      </c>
    </row>
    <row r="1285" spans="4:40">
      <c r="AN1285" t="e">
        <f>SUM(AN1274:AN1284)</f>
        <v>#REF!</v>
      </c>
    </row>
    <row r="1286" spans="4:40">
      <c r="AN1286">
        <f>+'1.Project Cost and MOF (2)'!D5+'1.Project Cost and MOF (2)'!D6+'1.Project Cost and MOF (2)'!D7+'1.Project Cost and MOF (2)'!D8+'1.Project Cost and MOF (2)'!D9+'1.Project Cost and MOF (2)'!D10</f>
        <v>39015635.961199999</v>
      </c>
    </row>
    <row r="1287" spans="4:40" ht="27.75" customHeight="1">
      <c r="D1287" s="504" t="s">
        <v>1132</v>
      </c>
      <c r="AN1287" t="e">
        <f>+AN1285-AN1286</f>
        <v>#REF!</v>
      </c>
    </row>
    <row r="1289" spans="4:40" ht="30">
      <c r="D1289" s="494" t="s">
        <v>952</v>
      </c>
      <c r="E1289" s="853" t="s">
        <v>1133</v>
      </c>
      <c r="F1289" s="852"/>
      <c r="G1289" s="852"/>
      <c r="H1289" s="852"/>
      <c r="I1289" s="852"/>
      <c r="J1289" s="852"/>
      <c r="K1289" s="852"/>
      <c r="L1289" s="853" t="s">
        <v>1134</v>
      </c>
      <c r="M1289" s="852"/>
      <c r="N1289" s="852"/>
      <c r="O1289" s="852"/>
      <c r="P1289" s="852"/>
      <c r="Q1289" s="852"/>
      <c r="R1289" s="852"/>
      <c r="S1289" s="853" t="s">
        <v>1135</v>
      </c>
      <c r="T1289" s="852"/>
      <c r="U1289" s="852"/>
      <c r="V1289" s="852"/>
      <c r="W1289" s="852"/>
      <c r="X1289" s="852"/>
      <c r="Y1289" s="852"/>
    </row>
    <row r="1290" spans="4:40" ht="294.75" customHeight="1">
      <c r="D1290" s="9"/>
      <c r="E1290" s="800" t="s">
        <v>1136</v>
      </c>
      <c r="F1290" s="800"/>
      <c r="G1290" s="800"/>
      <c r="H1290" s="800"/>
      <c r="I1290" s="800"/>
      <c r="J1290" s="800"/>
      <c r="K1290" s="800"/>
      <c r="L1290" s="800" t="s">
        <v>1137</v>
      </c>
      <c r="M1290" s="800"/>
      <c r="N1290" s="800"/>
      <c r="O1290" s="800"/>
      <c r="P1290" s="800"/>
      <c r="Q1290" s="800"/>
      <c r="R1290" s="800"/>
      <c r="S1290" s="800" t="s">
        <v>1138</v>
      </c>
      <c r="T1290" s="800"/>
      <c r="U1290" s="800"/>
      <c r="V1290" s="800"/>
      <c r="W1290" s="800"/>
      <c r="X1290" s="800"/>
      <c r="Y1290" s="800"/>
    </row>
    <row r="1291" spans="4:40">
      <c r="E1291" s="729"/>
      <c r="F1291" s="729"/>
      <c r="G1291" s="729"/>
      <c r="H1291" s="729"/>
      <c r="I1291" s="729"/>
      <c r="J1291" s="729"/>
      <c r="K1291" s="729"/>
      <c r="L1291" s="729"/>
      <c r="M1291" s="729"/>
      <c r="N1291" s="729"/>
      <c r="O1291" s="729"/>
      <c r="P1291" s="729"/>
      <c r="Q1291" s="729"/>
      <c r="R1291" s="729"/>
      <c r="S1291" s="729"/>
      <c r="T1291" s="729"/>
      <c r="U1291" s="729"/>
      <c r="V1291" s="729"/>
      <c r="W1291" s="729"/>
      <c r="X1291" s="729"/>
      <c r="Y1291" s="729"/>
    </row>
    <row r="1292" spans="4:40" ht="34.5" customHeight="1">
      <c r="D1292" s="883" t="s">
        <v>1139</v>
      </c>
      <c r="E1292" s="883"/>
      <c r="F1292" s="883"/>
      <c r="G1292" s="883"/>
      <c r="H1292" s="883"/>
      <c r="I1292" s="883"/>
      <c r="J1292" s="883"/>
      <c r="K1292" s="883"/>
      <c r="L1292" s="883"/>
      <c r="M1292" s="883"/>
      <c r="N1292" s="883"/>
      <c r="O1292" s="883"/>
      <c r="P1292" s="883"/>
      <c r="Q1292" s="883"/>
      <c r="R1292" s="883"/>
      <c r="S1292" s="883"/>
      <c r="T1292" s="883"/>
      <c r="U1292" s="883"/>
      <c r="V1292" s="883"/>
      <c r="W1292" s="883"/>
      <c r="X1292" s="883"/>
      <c r="Y1292" s="883"/>
    </row>
    <row r="1293" spans="4:40" ht="165.75" customHeight="1">
      <c r="D1293" s="913" t="s">
        <v>1140</v>
      </c>
      <c r="E1293" s="913"/>
      <c r="F1293" s="913"/>
      <c r="G1293" s="913"/>
      <c r="H1293" s="913"/>
      <c r="I1293" s="913"/>
      <c r="J1293" s="913"/>
      <c r="K1293" s="913"/>
      <c r="L1293" s="913"/>
      <c r="M1293" s="913"/>
      <c r="N1293" s="913"/>
      <c r="O1293" s="913"/>
      <c r="P1293" s="913"/>
      <c r="Q1293" s="913"/>
      <c r="R1293" s="913"/>
      <c r="S1293" s="913"/>
      <c r="T1293" s="913"/>
      <c r="U1293" s="913"/>
      <c r="V1293" s="913"/>
      <c r="W1293" s="913"/>
      <c r="X1293" s="913"/>
      <c r="Y1293" s="913"/>
    </row>
    <row r="1294" spans="4:40">
      <c r="E1294" s="729"/>
      <c r="F1294" s="729"/>
      <c r="G1294" s="729"/>
      <c r="H1294" s="729"/>
      <c r="I1294" s="729"/>
      <c r="J1294" s="729"/>
      <c r="K1294" s="729"/>
      <c r="L1294" s="729"/>
      <c r="M1294" s="729"/>
      <c r="N1294" s="729"/>
      <c r="O1294" s="729"/>
      <c r="P1294" s="729"/>
      <c r="Q1294" s="729"/>
      <c r="R1294" s="729"/>
      <c r="S1294" s="729"/>
      <c r="T1294" s="729"/>
      <c r="U1294" s="729"/>
      <c r="V1294" s="729"/>
      <c r="W1294" s="729"/>
      <c r="X1294" s="729"/>
      <c r="Y1294" s="729"/>
    </row>
    <row r="1295" spans="4:40">
      <c r="E1295" s="12"/>
      <c r="F1295" s="12"/>
      <c r="G1295" s="12"/>
      <c r="H1295" s="12"/>
      <c r="I1295" s="12"/>
      <c r="J1295" s="12"/>
      <c r="K1295" s="12"/>
      <c r="L1295" s="12"/>
      <c r="M1295" s="12"/>
      <c r="N1295" s="12"/>
      <c r="O1295" s="12"/>
      <c r="P1295" s="12"/>
      <c r="Q1295" s="12"/>
      <c r="R1295" s="12"/>
      <c r="S1295" s="12"/>
      <c r="T1295" s="12"/>
      <c r="U1295" s="12"/>
      <c r="V1295" s="12"/>
      <c r="W1295" s="12"/>
      <c r="X1295" s="12"/>
      <c r="Y1295" s="12"/>
    </row>
    <row r="1296" spans="4:40">
      <c r="E1296" s="12"/>
      <c r="F1296" s="12"/>
      <c r="G1296" s="12"/>
      <c r="H1296" s="12"/>
      <c r="I1296" s="12"/>
      <c r="J1296" s="12"/>
      <c r="K1296" s="12"/>
      <c r="L1296" s="12"/>
      <c r="M1296" s="12"/>
      <c r="N1296" s="12"/>
      <c r="O1296" s="12"/>
      <c r="P1296" s="12"/>
      <c r="Q1296" s="12"/>
      <c r="R1296" s="12"/>
      <c r="S1296" s="12"/>
      <c r="T1296" s="12"/>
      <c r="U1296" s="12"/>
      <c r="V1296" s="12"/>
      <c r="W1296" s="12"/>
      <c r="X1296" s="12"/>
      <c r="Y1296" s="12"/>
    </row>
    <row r="1297" spans="3:25">
      <c r="E1297" s="12"/>
      <c r="F1297" s="12"/>
      <c r="G1297" s="12"/>
      <c r="H1297" s="12"/>
      <c r="I1297" s="12"/>
      <c r="J1297" s="12"/>
      <c r="K1297" s="12"/>
      <c r="L1297" s="12"/>
      <c r="M1297" s="12"/>
      <c r="N1297" s="12"/>
      <c r="O1297" s="12"/>
      <c r="P1297" s="12"/>
      <c r="Q1297" s="12"/>
      <c r="R1297" s="12"/>
      <c r="S1297" s="12"/>
      <c r="T1297" s="12"/>
      <c r="U1297" s="12"/>
      <c r="V1297" s="12"/>
      <c r="W1297" s="12"/>
      <c r="X1297" s="12"/>
      <c r="Y1297" s="12"/>
    </row>
    <row r="1298" spans="3:25">
      <c r="E1298" s="12"/>
      <c r="F1298" s="12"/>
      <c r="G1298" s="12"/>
      <c r="H1298" s="12"/>
      <c r="I1298" s="12"/>
      <c r="J1298" s="12"/>
      <c r="K1298" s="12"/>
      <c r="L1298" s="12"/>
      <c r="M1298" s="12"/>
      <c r="N1298" s="12"/>
      <c r="O1298" s="12"/>
      <c r="P1298" s="12"/>
      <c r="Q1298" s="12"/>
      <c r="R1298" s="12"/>
      <c r="S1298" s="12"/>
      <c r="T1298" s="12"/>
      <c r="U1298" s="12"/>
      <c r="V1298" s="12"/>
      <c r="W1298" s="12"/>
      <c r="X1298" s="12"/>
      <c r="Y1298" s="12"/>
    </row>
    <row r="1299" spans="3:25">
      <c r="E1299" s="12"/>
      <c r="F1299" s="12"/>
      <c r="G1299" s="12"/>
      <c r="H1299" s="12"/>
      <c r="I1299" s="12"/>
      <c r="J1299" s="12"/>
      <c r="K1299" s="12"/>
      <c r="L1299" s="12"/>
      <c r="M1299" s="12"/>
      <c r="N1299" s="12"/>
      <c r="O1299" s="12"/>
      <c r="P1299" s="12"/>
      <c r="Q1299" s="12"/>
      <c r="R1299" s="12"/>
      <c r="S1299" s="12"/>
      <c r="T1299" s="12"/>
      <c r="U1299" s="12"/>
      <c r="V1299" s="12"/>
      <c r="W1299" s="12"/>
      <c r="X1299" s="12"/>
      <c r="Y1299" s="12"/>
    </row>
    <row r="1300" spans="3:25">
      <c r="E1300" s="12"/>
      <c r="F1300" s="12"/>
      <c r="G1300" s="12"/>
      <c r="H1300" s="12"/>
      <c r="I1300" s="12"/>
      <c r="J1300" s="12"/>
      <c r="K1300" s="12"/>
      <c r="L1300" s="12"/>
      <c r="M1300" s="12"/>
      <c r="N1300" s="12"/>
      <c r="O1300" s="12"/>
      <c r="P1300" s="12"/>
      <c r="Q1300" s="12"/>
      <c r="R1300" s="12"/>
      <c r="S1300" s="12"/>
      <c r="T1300" s="12"/>
      <c r="U1300" s="12"/>
      <c r="V1300" s="12"/>
      <c r="W1300" s="12"/>
      <c r="X1300" s="12"/>
      <c r="Y1300" s="12"/>
    </row>
    <row r="1301" spans="3:25">
      <c r="E1301" s="12"/>
      <c r="F1301" s="12"/>
      <c r="G1301" s="12"/>
      <c r="H1301" s="12"/>
      <c r="I1301" s="12"/>
      <c r="J1301" s="12"/>
      <c r="K1301" s="12"/>
      <c r="L1301" s="12"/>
      <c r="M1301" s="12"/>
      <c r="N1301" s="12"/>
      <c r="O1301" s="12"/>
      <c r="P1301" s="12"/>
      <c r="Q1301" s="12"/>
      <c r="R1301" s="12"/>
      <c r="S1301" s="12"/>
      <c r="T1301" s="12"/>
      <c r="U1301" s="12"/>
      <c r="V1301" s="12"/>
      <c r="W1301" s="12"/>
      <c r="X1301" s="12"/>
      <c r="Y1301" s="12"/>
    </row>
    <row r="1302" spans="3:25">
      <c r="E1302" s="12"/>
      <c r="F1302" s="12"/>
      <c r="G1302" s="12"/>
      <c r="H1302" s="12"/>
      <c r="I1302" s="12"/>
      <c r="J1302" s="12"/>
      <c r="K1302" s="12"/>
      <c r="L1302" s="12"/>
      <c r="M1302" s="12"/>
      <c r="N1302" s="12"/>
      <c r="O1302" s="12"/>
      <c r="P1302" s="12"/>
      <c r="Q1302" s="12"/>
      <c r="R1302" s="12"/>
      <c r="S1302" s="12"/>
      <c r="T1302" s="12"/>
      <c r="U1302" s="12"/>
      <c r="V1302" s="12"/>
      <c r="W1302" s="12"/>
      <c r="X1302" s="12"/>
      <c r="Y1302" s="12"/>
    </row>
    <row r="1303" spans="3:25">
      <c r="E1303" s="12"/>
      <c r="F1303" s="12"/>
      <c r="G1303" s="12"/>
      <c r="H1303" s="12"/>
      <c r="I1303" s="12"/>
      <c r="J1303" s="12"/>
      <c r="K1303" s="12"/>
      <c r="L1303" s="12"/>
      <c r="M1303" s="12"/>
      <c r="N1303" s="12"/>
      <c r="O1303" s="12"/>
      <c r="P1303" s="12"/>
      <c r="Q1303" s="12"/>
      <c r="R1303" s="12"/>
      <c r="S1303" s="12"/>
      <c r="T1303" s="12"/>
      <c r="U1303" s="12"/>
      <c r="V1303" s="12"/>
      <c r="W1303" s="12"/>
      <c r="X1303" s="12"/>
      <c r="Y1303" s="12"/>
    </row>
    <row r="1304" spans="3:25">
      <c r="E1304" s="12"/>
      <c r="F1304" s="12"/>
      <c r="G1304" s="12"/>
      <c r="H1304" s="12"/>
      <c r="I1304" s="12"/>
      <c r="J1304" s="12"/>
      <c r="K1304" s="12"/>
      <c r="L1304" s="12"/>
      <c r="M1304" s="12"/>
      <c r="N1304" s="12"/>
      <c r="O1304" s="12"/>
      <c r="P1304" s="12"/>
      <c r="Q1304" s="12"/>
      <c r="R1304" s="12"/>
      <c r="S1304" s="12"/>
      <c r="T1304" s="12"/>
      <c r="U1304" s="12"/>
      <c r="V1304" s="12"/>
      <c r="W1304" s="12"/>
      <c r="X1304" s="12"/>
      <c r="Y1304" s="12"/>
    </row>
    <row r="1305" spans="3:25">
      <c r="E1305" s="12"/>
      <c r="F1305" s="12"/>
      <c r="G1305" s="12"/>
      <c r="H1305" s="12"/>
      <c r="I1305" s="12"/>
      <c r="J1305" s="12"/>
      <c r="K1305" s="12"/>
      <c r="L1305" s="12"/>
      <c r="M1305" s="12"/>
      <c r="N1305" s="12"/>
      <c r="O1305" s="12"/>
      <c r="P1305" s="12"/>
      <c r="Q1305" s="12"/>
      <c r="R1305" s="12"/>
      <c r="S1305" s="12"/>
      <c r="T1305" s="12"/>
      <c r="U1305" s="12"/>
      <c r="V1305" s="12"/>
      <c r="W1305" s="12"/>
      <c r="X1305" s="12"/>
      <c r="Y1305" s="12"/>
    </row>
    <row r="1306" spans="3:25">
      <c r="E1306" s="12"/>
      <c r="F1306" s="12"/>
      <c r="G1306" s="12"/>
      <c r="H1306" s="12"/>
      <c r="I1306" s="12"/>
      <c r="J1306" s="12"/>
      <c r="K1306" s="12"/>
      <c r="L1306" s="12"/>
      <c r="M1306" s="12"/>
      <c r="N1306" s="12"/>
      <c r="O1306" s="12"/>
      <c r="P1306" s="12"/>
      <c r="Q1306" s="12"/>
      <c r="R1306" s="12"/>
      <c r="S1306" s="12"/>
      <c r="T1306" s="12"/>
      <c r="U1306" s="12"/>
      <c r="V1306" s="12"/>
      <c r="W1306" s="12"/>
      <c r="X1306" s="12"/>
      <c r="Y1306" s="12"/>
    </row>
    <row r="1307" spans="3:25">
      <c r="C1307" s="950" t="s">
        <v>1923</v>
      </c>
      <c r="D1307" s="950"/>
      <c r="E1307" s="950"/>
      <c r="F1307" s="950"/>
      <c r="G1307" s="950"/>
      <c r="H1307" s="950"/>
      <c r="I1307" s="950"/>
      <c r="J1307" s="950"/>
      <c r="K1307" s="950"/>
      <c r="L1307" s="950"/>
      <c r="M1307" s="950"/>
      <c r="N1307" s="950"/>
      <c r="O1307" s="950"/>
      <c r="P1307" s="950"/>
      <c r="Q1307" s="950"/>
      <c r="R1307" s="950"/>
      <c r="S1307" s="950"/>
      <c r="T1307" s="950"/>
      <c r="U1307" s="950"/>
      <c r="V1307" s="950"/>
      <c r="W1307" s="950"/>
      <c r="X1307" s="950"/>
      <c r="Y1307" s="950"/>
    </row>
    <row r="1308" spans="3:25">
      <c r="C1308" s="950"/>
      <c r="D1308" s="950"/>
      <c r="E1308" s="950"/>
      <c r="F1308" s="950"/>
      <c r="G1308" s="950"/>
      <c r="H1308" s="950"/>
      <c r="I1308" s="950"/>
      <c r="J1308" s="950"/>
      <c r="K1308" s="950"/>
      <c r="L1308" s="950"/>
      <c r="M1308" s="950"/>
      <c r="N1308" s="950"/>
      <c r="O1308" s="950"/>
      <c r="P1308" s="950"/>
      <c r="Q1308" s="950"/>
      <c r="R1308" s="950"/>
      <c r="S1308" s="950"/>
      <c r="T1308" s="950"/>
      <c r="U1308" s="950"/>
      <c r="V1308" s="950"/>
      <c r="W1308" s="950"/>
      <c r="X1308" s="950"/>
      <c r="Y1308" s="950"/>
    </row>
    <row r="1309" spans="3:25">
      <c r="E1309" s="12"/>
      <c r="F1309" s="12"/>
      <c r="G1309" s="12"/>
      <c r="H1309" s="12"/>
      <c r="I1309" s="12"/>
      <c r="J1309" s="12"/>
      <c r="K1309" s="12"/>
      <c r="L1309" s="12"/>
      <c r="M1309" s="12"/>
      <c r="N1309" s="12"/>
      <c r="O1309" s="12"/>
      <c r="P1309" s="12"/>
      <c r="Q1309" s="12"/>
      <c r="R1309" s="12"/>
      <c r="S1309" s="12"/>
      <c r="T1309" s="12"/>
      <c r="U1309" s="12"/>
      <c r="V1309" s="12"/>
      <c r="W1309" s="12"/>
      <c r="X1309" s="12"/>
      <c r="Y1309" s="12"/>
    </row>
    <row r="1310" spans="3:25">
      <c r="C1310" s="1073" t="s">
        <v>1930</v>
      </c>
      <c r="D1310" s="1073"/>
      <c r="E1310" s="1073"/>
      <c r="F1310" s="1073"/>
      <c r="G1310" s="1073"/>
      <c r="H1310" s="1073"/>
      <c r="I1310" s="1073"/>
      <c r="J1310" s="1073"/>
      <c r="K1310" s="1073"/>
      <c r="L1310" s="1073"/>
      <c r="M1310" s="1073"/>
      <c r="N1310" s="1073"/>
      <c r="O1310" s="1073"/>
      <c r="P1310" s="1073"/>
      <c r="Q1310" s="1073"/>
      <c r="R1310" s="1073"/>
      <c r="S1310" s="1073"/>
      <c r="T1310" s="1073"/>
      <c r="U1310" s="1073"/>
      <c r="V1310" s="1073"/>
      <c r="W1310" s="1073"/>
      <c r="X1310" s="1073"/>
      <c r="Y1310" s="1073"/>
    </row>
    <row r="1311" spans="3:25" ht="124.5" customHeight="1">
      <c r="C1311" s="1072" t="s">
        <v>1927</v>
      </c>
      <c r="D1311" s="1072"/>
      <c r="E1311" s="1072"/>
      <c r="F1311" s="1072"/>
      <c r="G1311" s="1072"/>
      <c r="H1311" s="1072"/>
      <c r="I1311" s="1072"/>
      <c r="J1311" s="1072"/>
      <c r="K1311" s="1072"/>
      <c r="L1311" s="1072"/>
      <c r="M1311" s="1072"/>
      <c r="N1311" s="1072"/>
      <c r="O1311" s="1072"/>
      <c r="P1311" s="1072"/>
      <c r="Q1311" s="1072"/>
      <c r="R1311" s="1072"/>
      <c r="S1311" s="1072"/>
      <c r="T1311" s="1072"/>
      <c r="U1311" s="1072"/>
      <c r="V1311" s="1072"/>
      <c r="W1311" s="1072"/>
      <c r="X1311" s="1072"/>
      <c r="Y1311" s="1072"/>
    </row>
    <row r="1312" spans="3:25">
      <c r="E1312" s="12"/>
      <c r="F1312" s="12"/>
      <c r="G1312" s="12"/>
      <c r="H1312" s="12"/>
      <c r="I1312" s="12"/>
      <c r="J1312" s="12"/>
      <c r="K1312" s="12"/>
      <c r="L1312" s="12"/>
      <c r="M1312" s="12"/>
      <c r="N1312" s="12"/>
      <c r="O1312" s="12"/>
      <c r="P1312" s="12"/>
      <c r="Q1312" s="12"/>
      <c r="R1312" s="12"/>
      <c r="S1312" s="12"/>
      <c r="T1312" s="12"/>
      <c r="U1312" s="12"/>
      <c r="V1312" s="12"/>
      <c r="W1312" s="12"/>
      <c r="X1312" s="12"/>
      <c r="Y1312" s="12"/>
    </row>
    <row r="1313" spans="3:25" ht="91.5" customHeight="1">
      <c r="C1313" s="1072" t="s">
        <v>1928</v>
      </c>
      <c r="D1313" s="1072"/>
      <c r="E1313" s="1072"/>
      <c r="F1313" s="1072"/>
      <c r="G1313" s="1072"/>
      <c r="H1313" s="1072"/>
      <c r="I1313" s="1072"/>
      <c r="J1313" s="1072"/>
      <c r="K1313" s="1072"/>
      <c r="L1313" s="1072"/>
      <c r="M1313" s="1072"/>
      <c r="N1313" s="1072"/>
      <c r="O1313" s="1072"/>
      <c r="P1313" s="1072"/>
      <c r="Q1313" s="1072"/>
      <c r="R1313" s="1072"/>
      <c r="S1313" s="1072"/>
      <c r="T1313" s="1072"/>
      <c r="U1313" s="1072"/>
      <c r="V1313" s="1072"/>
      <c r="W1313" s="1072"/>
      <c r="X1313" s="1072"/>
      <c r="Y1313" s="1072"/>
    </row>
    <row r="1314" spans="3:25">
      <c r="E1314" s="12"/>
      <c r="F1314" s="12"/>
      <c r="G1314" s="12"/>
      <c r="H1314" s="12"/>
      <c r="I1314" s="12"/>
      <c r="J1314" s="12"/>
      <c r="K1314" s="12"/>
      <c r="L1314" s="12"/>
      <c r="M1314" s="12"/>
      <c r="N1314" s="12"/>
      <c r="O1314" s="12"/>
      <c r="P1314" s="12"/>
      <c r="Q1314" s="12"/>
      <c r="R1314" s="12"/>
      <c r="S1314" s="12"/>
      <c r="T1314" s="12"/>
      <c r="U1314" s="12"/>
      <c r="V1314" s="12"/>
      <c r="W1314" s="12"/>
      <c r="X1314" s="12"/>
      <c r="Y1314" s="12"/>
    </row>
    <row r="1315" spans="3:25" ht="66" customHeight="1">
      <c r="C1315" s="1072" t="s">
        <v>1929</v>
      </c>
      <c r="D1315" s="1072"/>
      <c r="E1315" s="1072"/>
      <c r="F1315" s="1072"/>
      <c r="G1315" s="1072"/>
      <c r="H1315" s="1072"/>
      <c r="I1315" s="1072"/>
      <c r="J1315" s="1072"/>
      <c r="K1315" s="1072"/>
      <c r="L1315" s="1072"/>
      <c r="M1315" s="1072"/>
      <c r="N1315" s="1072"/>
      <c r="O1315" s="1072"/>
      <c r="P1315" s="1072"/>
      <c r="Q1315" s="1072"/>
      <c r="R1315" s="1072"/>
      <c r="S1315" s="1072"/>
      <c r="T1315" s="1072"/>
      <c r="U1315" s="1072"/>
      <c r="V1315" s="1072"/>
      <c r="W1315" s="1072"/>
      <c r="X1315" s="1072"/>
      <c r="Y1315" s="1072"/>
    </row>
    <row r="1316" spans="3:25">
      <c r="E1316" s="12"/>
      <c r="F1316" s="12"/>
      <c r="G1316" s="12"/>
      <c r="H1316" s="12"/>
      <c r="I1316" s="12"/>
      <c r="J1316" s="12"/>
      <c r="K1316" s="12"/>
      <c r="L1316" s="12"/>
      <c r="M1316" s="12"/>
      <c r="N1316" s="12"/>
      <c r="O1316" s="12"/>
      <c r="P1316" s="12"/>
      <c r="Q1316" s="12"/>
      <c r="R1316" s="12"/>
      <c r="S1316" s="12"/>
      <c r="T1316" s="12"/>
      <c r="U1316" s="12"/>
      <c r="V1316" s="12"/>
      <c r="W1316" s="12"/>
      <c r="X1316" s="12"/>
      <c r="Y1316" s="12"/>
    </row>
    <row r="1317" spans="3:25" ht="70.5" customHeight="1">
      <c r="C1317" s="1072" t="s">
        <v>1931</v>
      </c>
      <c r="D1317" s="1072"/>
      <c r="E1317" s="1072"/>
      <c r="F1317" s="1072"/>
      <c r="G1317" s="1072"/>
      <c r="H1317" s="1072"/>
      <c r="I1317" s="1072"/>
      <c r="J1317" s="1072"/>
      <c r="K1317" s="1072"/>
      <c r="L1317" s="1072"/>
      <c r="M1317" s="1072"/>
      <c r="N1317" s="1072"/>
      <c r="O1317" s="1072"/>
      <c r="P1317" s="1072"/>
      <c r="Q1317" s="1072"/>
      <c r="R1317" s="1072"/>
      <c r="S1317" s="1072"/>
      <c r="T1317" s="1072"/>
      <c r="U1317" s="1072"/>
      <c r="V1317" s="1072"/>
      <c r="W1317" s="1072"/>
      <c r="X1317" s="1072"/>
      <c r="Y1317" s="1072"/>
    </row>
    <row r="1318" spans="3:25">
      <c r="E1318" s="12"/>
      <c r="F1318" s="12"/>
      <c r="G1318" s="12"/>
      <c r="H1318" s="12"/>
      <c r="I1318" s="12"/>
      <c r="J1318" s="12"/>
      <c r="K1318" s="12"/>
      <c r="L1318" s="12"/>
      <c r="M1318" s="12"/>
      <c r="N1318" s="12"/>
      <c r="O1318" s="12"/>
      <c r="P1318" s="12"/>
      <c r="Q1318" s="12"/>
      <c r="R1318" s="12"/>
      <c r="S1318" s="12"/>
      <c r="T1318" s="12"/>
      <c r="U1318" s="12"/>
      <c r="V1318" s="12"/>
      <c r="W1318" s="12"/>
      <c r="X1318" s="12"/>
      <c r="Y1318" s="12"/>
    </row>
    <row r="1319" spans="3:25" ht="63" customHeight="1">
      <c r="C1319" s="1072" t="s">
        <v>1932</v>
      </c>
      <c r="D1319" s="1072"/>
      <c r="E1319" s="1072"/>
      <c r="F1319" s="1072"/>
      <c r="G1319" s="1072"/>
      <c r="H1319" s="1072"/>
      <c r="I1319" s="1072"/>
      <c r="J1319" s="1072"/>
      <c r="K1319" s="1072"/>
      <c r="L1319" s="1072"/>
      <c r="M1319" s="1072"/>
      <c r="N1319" s="1072"/>
      <c r="O1319" s="1072"/>
      <c r="P1319" s="1072"/>
      <c r="Q1319" s="1072"/>
      <c r="R1319" s="1072"/>
      <c r="S1319" s="1072"/>
      <c r="T1319" s="1072"/>
      <c r="U1319" s="1072"/>
      <c r="V1319" s="1072"/>
      <c r="W1319" s="1072"/>
      <c r="X1319" s="1072"/>
      <c r="Y1319" s="1072"/>
    </row>
    <row r="1320" spans="3:25">
      <c r="E1320" s="12"/>
      <c r="F1320" s="12"/>
      <c r="G1320" s="12"/>
      <c r="H1320" s="12"/>
      <c r="I1320" s="12"/>
      <c r="J1320" s="12"/>
      <c r="K1320" s="12"/>
      <c r="L1320" s="12"/>
      <c r="M1320" s="12"/>
      <c r="N1320" s="12"/>
      <c r="O1320" s="12"/>
      <c r="P1320" s="12"/>
      <c r="Q1320" s="12"/>
      <c r="R1320" s="12"/>
      <c r="S1320" s="12"/>
      <c r="T1320" s="12"/>
      <c r="U1320" s="12"/>
      <c r="V1320" s="12"/>
      <c r="W1320" s="12"/>
      <c r="X1320" s="12"/>
      <c r="Y1320" s="12"/>
    </row>
    <row r="1321" spans="3:25" ht="75" customHeight="1">
      <c r="C1321" s="1072" t="s">
        <v>1933</v>
      </c>
      <c r="D1321" s="1072"/>
      <c r="E1321" s="1072"/>
      <c r="F1321" s="1072"/>
      <c r="G1321" s="1072"/>
      <c r="H1321" s="1072"/>
      <c r="I1321" s="1072"/>
      <c r="J1321" s="1072"/>
      <c r="K1321" s="1072"/>
      <c r="L1321" s="1072"/>
      <c r="M1321" s="1072"/>
      <c r="N1321" s="1072"/>
      <c r="O1321" s="1072"/>
      <c r="P1321" s="1072"/>
      <c r="Q1321" s="1072"/>
      <c r="R1321" s="1072"/>
      <c r="S1321" s="1072"/>
      <c r="T1321" s="1072"/>
      <c r="U1321" s="1072"/>
      <c r="V1321" s="1072"/>
      <c r="W1321" s="1072"/>
      <c r="X1321" s="1072"/>
      <c r="Y1321" s="1072"/>
    </row>
    <row r="1322" spans="3:25">
      <c r="E1322" s="12"/>
      <c r="F1322" s="12"/>
      <c r="G1322" s="12"/>
      <c r="H1322" s="12"/>
      <c r="I1322" s="12"/>
      <c r="J1322" s="12"/>
      <c r="K1322" s="12"/>
      <c r="L1322" s="12"/>
      <c r="M1322" s="12"/>
      <c r="N1322" s="12"/>
      <c r="O1322" s="12"/>
      <c r="P1322" s="12"/>
      <c r="Q1322" s="12"/>
      <c r="R1322" s="12"/>
      <c r="S1322" s="12"/>
      <c r="T1322" s="12"/>
      <c r="U1322" s="12"/>
      <c r="V1322" s="12"/>
      <c r="W1322" s="12"/>
      <c r="X1322" s="12"/>
      <c r="Y1322" s="12"/>
    </row>
    <row r="1323" spans="3:25" ht="81" customHeight="1">
      <c r="C1323" s="1072" t="s">
        <v>1934</v>
      </c>
      <c r="D1323" s="1072"/>
      <c r="E1323" s="1072"/>
      <c r="F1323" s="1072"/>
      <c r="G1323" s="1072"/>
      <c r="H1323" s="1072"/>
      <c r="I1323" s="1072"/>
      <c r="J1323" s="1072"/>
      <c r="K1323" s="1072"/>
      <c r="L1323" s="1072"/>
      <c r="M1323" s="1072"/>
      <c r="N1323" s="1072"/>
      <c r="O1323" s="1072"/>
      <c r="P1323" s="1072"/>
      <c r="Q1323" s="1072"/>
      <c r="R1323" s="1072"/>
      <c r="S1323" s="1072"/>
      <c r="T1323" s="1072"/>
      <c r="U1323" s="1072"/>
      <c r="V1323" s="1072"/>
      <c r="W1323" s="1072"/>
      <c r="X1323" s="1072"/>
      <c r="Y1323" s="1072"/>
    </row>
    <row r="1324" spans="3:25">
      <c r="E1324" s="12"/>
      <c r="F1324" s="12"/>
      <c r="G1324" s="12"/>
      <c r="H1324" s="12"/>
      <c r="I1324" s="12"/>
      <c r="J1324" s="12"/>
      <c r="K1324" s="12"/>
      <c r="L1324" s="12"/>
      <c r="M1324" s="12"/>
      <c r="N1324" s="12"/>
      <c r="O1324" s="12"/>
      <c r="P1324" s="12"/>
      <c r="Q1324" s="12"/>
      <c r="R1324" s="12"/>
      <c r="S1324" s="12"/>
      <c r="T1324" s="12"/>
      <c r="U1324" s="12"/>
      <c r="V1324" s="12"/>
      <c r="W1324" s="12"/>
      <c r="X1324" s="12"/>
      <c r="Y1324" s="12"/>
    </row>
    <row r="1325" spans="3:25">
      <c r="E1325" s="12"/>
      <c r="F1325" s="12"/>
      <c r="G1325" s="12"/>
      <c r="H1325" s="12"/>
      <c r="I1325" s="12"/>
      <c r="J1325" s="12"/>
      <c r="K1325" s="12"/>
      <c r="L1325" s="12"/>
      <c r="M1325" s="12"/>
      <c r="N1325" s="12"/>
      <c r="O1325" s="12"/>
      <c r="P1325" s="12"/>
      <c r="Q1325" s="12"/>
      <c r="R1325" s="12"/>
      <c r="S1325" s="12"/>
      <c r="T1325" s="12"/>
      <c r="U1325" s="12"/>
      <c r="V1325" s="12"/>
      <c r="W1325" s="12"/>
      <c r="X1325" s="12"/>
      <c r="Y1325" s="12"/>
    </row>
    <row r="1326" spans="3:25">
      <c r="E1326" s="12"/>
      <c r="F1326" s="12"/>
      <c r="G1326" s="12"/>
      <c r="H1326" s="12"/>
      <c r="I1326" s="12"/>
      <c r="J1326" s="12"/>
      <c r="K1326" s="12"/>
      <c r="L1326" s="12"/>
      <c r="M1326" s="12"/>
      <c r="N1326" s="12"/>
      <c r="O1326" s="12"/>
      <c r="P1326" s="12"/>
      <c r="Q1326" s="12"/>
      <c r="R1326" s="12"/>
      <c r="S1326" s="12"/>
      <c r="T1326" s="12"/>
      <c r="U1326" s="12"/>
      <c r="V1326" s="12"/>
      <c r="W1326" s="12"/>
      <c r="X1326" s="12"/>
      <c r="Y1326" s="12"/>
    </row>
    <row r="1327" spans="3:25">
      <c r="E1327" s="12"/>
      <c r="F1327" s="12"/>
      <c r="G1327" s="12"/>
      <c r="H1327" s="12"/>
      <c r="I1327" s="12"/>
      <c r="J1327" s="12"/>
      <c r="K1327" s="12"/>
      <c r="L1327" s="12"/>
      <c r="M1327" s="12"/>
      <c r="N1327" s="12"/>
      <c r="O1327" s="12"/>
      <c r="P1327" s="12"/>
      <c r="Q1327" s="12"/>
      <c r="R1327" s="12"/>
      <c r="S1327" s="12"/>
      <c r="T1327" s="12"/>
      <c r="U1327" s="12"/>
      <c r="V1327" s="12"/>
      <c r="W1327" s="12"/>
      <c r="X1327" s="12"/>
      <c r="Y1327" s="12"/>
    </row>
    <row r="1328" spans="3:25">
      <c r="E1328" s="12"/>
      <c r="F1328" s="12"/>
      <c r="G1328" s="12"/>
      <c r="H1328" s="12"/>
      <c r="I1328" s="12"/>
      <c r="J1328" s="12"/>
      <c r="K1328" s="12"/>
      <c r="L1328" s="12"/>
      <c r="M1328" s="12"/>
      <c r="N1328" s="12"/>
      <c r="O1328" s="12"/>
      <c r="P1328" s="12"/>
      <c r="Q1328" s="12"/>
      <c r="R1328" s="12"/>
      <c r="S1328" s="12"/>
      <c r="T1328" s="12"/>
      <c r="U1328" s="12"/>
      <c r="V1328" s="12"/>
      <c r="W1328" s="12"/>
      <c r="X1328" s="12"/>
      <c r="Y1328" s="12"/>
    </row>
    <row r="1329" spans="4:25">
      <c r="E1329" s="12"/>
      <c r="F1329" s="12"/>
      <c r="G1329" s="12"/>
      <c r="H1329" s="12"/>
      <c r="I1329" s="12"/>
      <c r="J1329" s="12"/>
      <c r="K1329" s="12"/>
      <c r="L1329" s="12"/>
      <c r="M1329" s="12"/>
      <c r="N1329" s="12"/>
      <c r="O1329" s="12"/>
      <c r="P1329" s="12"/>
      <c r="Q1329" s="12"/>
      <c r="R1329" s="12"/>
      <c r="S1329" s="12"/>
      <c r="T1329" s="12"/>
      <c r="U1329" s="12"/>
      <c r="V1329" s="12"/>
      <c r="W1329" s="12"/>
      <c r="X1329" s="12"/>
      <c r="Y1329" s="12"/>
    </row>
    <row r="1330" spans="4:25" ht="23.25" customHeight="1">
      <c r="D1330" s="504" t="s">
        <v>1145</v>
      </c>
      <c r="E1330" s="12"/>
      <c r="F1330" s="12"/>
      <c r="G1330" s="12"/>
      <c r="H1330" s="12"/>
      <c r="I1330" s="12"/>
      <c r="J1330" s="12"/>
      <c r="K1330" s="12"/>
      <c r="L1330" s="12"/>
      <c r="M1330" s="12"/>
      <c r="N1330" s="12"/>
      <c r="O1330" s="12"/>
      <c r="P1330" s="12"/>
      <c r="Q1330" s="12"/>
      <c r="R1330" s="12"/>
      <c r="S1330" s="12"/>
      <c r="T1330" s="12"/>
      <c r="U1330" s="12"/>
      <c r="V1330" s="12"/>
      <c r="W1330" s="12"/>
      <c r="X1330" s="12"/>
      <c r="Y1330" s="12"/>
    </row>
    <row r="1331" spans="4:25" ht="20.25" customHeight="1">
      <c r="D1331" s="504" t="s">
        <v>1146</v>
      </c>
      <c r="E1331" s="12"/>
      <c r="F1331" s="12"/>
      <c r="G1331" s="12"/>
      <c r="H1331" s="12"/>
      <c r="I1331" s="12"/>
      <c r="J1331" s="12"/>
      <c r="K1331" s="12"/>
      <c r="L1331" s="12"/>
      <c r="M1331" s="12"/>
      <c r="N1331" s="12"/>
      <c r="O1331" s="12"/>
      <c r="P1331" s="12"/>
      <c r="Q1331" s="12"/>
      <c r="R1331" s="12"/>
      <c r="S1331" s="12"/>
      <c r="T1331" s="12"/>
      <c r="U1331" s="12"/>
      <c r="V1331" s="12"/>
      <c r="W1331" s="12"/>
      <c r="X1331" s="12"/>
      <c r="Y1331" s="12"/>
    </row>
    <row r="1332" spans="4:25" ht="5.25" customHeight="1"/>
    <row r="1333" spans="4:25" ht="27.75" customHeight="1">
      <c r="D1333" s="867" t="s">
        <v>881</v>
      </c>
      <c r="E1333" s="867" t="s">
        <v>1144</v>
      </c>
      <c r="F1333" s="867"/>
      <c r="G1333" s="867"/>
      <c r="H1333" s="867"/>
      <c r="I1333" s="867"/>
      <c r="J1333" s="867"/>
      <c r="K1333" s="867"/>
      <c r="L1333" s="867"/>
      <c r="M1333" s="867"/>
      <c r="N1333" s="867" t="s">
        <v>1141</v>
      </c>
      <c r="O1333" s="867"/>
      <c r="P1333" s="867"/>
      <c r="Q1333" s="867"/>
      <c r="R1333" s="867" t="s">
        <v>1142</v>
      </c>
      <c r="S1333" s="867"/>
      <c r="T1333" s="867"/>
      <c r="U1333" s="867"/>
      <c r="V1333" s="867" t="s">
        <v>1143</v>
      </c>
      <c r="W1333" s="867"/>
      <c r="X1333" s="867"/>
      <c r="Y1333" s="867"/>
    </row>
    <row r="1334" spans="4:25" ht="20.25" customHeight="1">
      <c r="D1334" s="867"/>
      <c r="E1334" s="867"/>
      <c r="F1334" s="867"/>
      <c r="G1334" s="867"/>
      <c r="H1334" s="867"/>
      <c r="I1334" s="867"/>
      <c r="J1334" s="867"/>
      <c r="K1334" s="867"/>
      <c r="L1334" s="867"/>
      <c r="M1334" s="867"/>
      <c r="N1334" s="475">
        <v>1</v>
      </c>
      <c r="O1334" s="475">
        <v>2</v>
      </c>
      <c r="P1334" s="475">
        <v>3</v>
      </c>
      <c r="Q1334" s="475">
        <v>4</v>
      </c>
      <c r="R1334" s="475">
        <v>1</v>
      </c>
      <c r="S1334" s="475">
        <v>2</v>
      </c>
      <c r="T1334" s="475">
        <v>3</v>
      </c>
      <c r="U1334" s="475">
        <v>4</v>
      </c>
      <c r="V1334" s="475">
        <v>1</v>
      </c>
      <c r="W1334" s="475">
        <v>2</v>
      </c>
      <c r="X1334" s="475">
        <v>3</v>
      </c>
      <c r="Y1334" s="475">
        <v>4</v>
      </c>
    </row>
    <row r="1335" spans="4:25" ht="18.75" customHeight="1">
      <c r="D1335" s="9" t="s">
        <v>910</v>
      </c>
      <c r="E1335" s="786" t="s">
        <v>1147</v>
      </c>
      <c r="F1335" s="786"/>
      <c r="G1335" s="786"/>
      <c r="H1335" s="786"/>
      <c r="I1335" s="786"/>
      <c r="J1335" s="786"/>
      <c r="K1335" s="786"/>
      <c r="L1335" s="786"/>
      <c r="M1335" s="786"/>
      <c r="N1335" s="9"/>
      <c r="O1335" s="9"/>
      <c r="P1335" s="9"/>
      <c r="Q1335" s="9"/>
      <c r="R1335" s="9"/>
      <c r="S1335" s="9"/>
      <c r="T1335" s="9"/>
      <c r="U1335" s="9"/>
      <c r="V1335" s="9"/>
      <c r="W1335" s="9"/>
      <c r="X1335" s="9"/>
      <c r="Y1335" s="9"/>
    </row>
    <row r="1336" spans="4:25" ht="18.75" customHeight="1">
      <c r="D1336" s="9">
        <v>1</v>
      </c>
      <c r="E1336" s="788" t="str">
        <f>+'2.Capex Details'!C6</f>
        <v>Civil Work of Dal Mill Processing Unit</v>
      </c>
      <c r="F1336" s="788"/>
      <c r="G1336" s="788"/>
      <c r="H1336" s="788"/>
      <c r="I1336" s="788"/>
      <c r="J1336" s="788"/>
      <c r="K1336" s="788"/>
      <c r="L1336" s="788"/>
      <c r="M1336" s="788"/>
      <c r="N1336" s="9"/>
      <c r="O1336" s="208"/>
      <c r="P1336" s="9"/>
      <c r="Q1336" s="9"/>
      <c r="R1336" s="9"/>
      <c r="S1336" s="9"/>
      <c r="T1336" s="9"/>
      <c r="U1336" s="9"/>
      <c r="V1336" s="9"/>
      <c r="W1336" s="9"/>
      <c r="X1336" s="9"/>
      <c r="Y1336" s="9"/>
    </row>
    <row r="1337" spans="4:25" ht="18.75" customHeight="1">
      <c r="D1337" s="9">
        <v>2</v>
      </c>
      <c r="E1337" s="788" t="e">
        <f>+'2.Capex Details'!#REF!</f>
        <v>#REF!</v>
      </c>
      <c r="F1337" s="788"/>
      <c r="G1337" s="788"/>
      <c r="H1337" s="788"/>
      <c r="I1337" s="788"/>
      <c r="J1337" s="788"/>
      <c r="K1337" s="788"/>
      <c r="L1337" s="788"/>
      <c r="M1337" s="788"/>
      <c r="N1337" s="208"/>
      <c r="O1337" s="9"/>
      <c r="P1337" s="9"/>
      <c r="Q1337" s="9"/>
      <c r="R1337" s="9"/>
      <c r="S1337" s="9"/>
      <c r="T1337" s="9"/>
      <c r="U1337" s="9"/>
      <c r="V1337" s="9"/>
      <c r="W1337" s="9"/>
      <c r="X1337" s="9"/>
      <c r="Y1337" s="9"/>
    </row>
    <row r="1338" spans="4:25" ht="18.75" customHeight="1">
      <c r="D1338" s="9">
        <v>3</v>
      </c>
      <c r="E1338" s="788" t="e">
        <f>+'2.Capex Details'!#REF!</f>
        <v>#REF!</v>
      </c>
      <c r="F1338" s="788"/>
      <c r="G1338" s="788"/>
      <c r="H1338" s="788"/>
      <c r="I1338" s="788"/>
      <c r="J1338" s="788"/>
      <c r="K1338" s="788"/>
      <c r="L1338" s="788"/>
      <c r="M1338" s="788"/>
      <c r="N1338" s="208"/>
      <c r="O1338" s="9"/>
      <c r="P1338" s="9"/>
      <c r="Q1338" s="9"/>
      <c r="R1338" s="9"/>
      <c r="S1338" s="9"/>
      <c r="T1338" s="9"/>
      <c r="U1338" s="9"/>
      <c r="V1338" s="9"/>
      <c r="W1338" s="9"/>
      <c r="X1338" s="9"/>
      <c r="Y1338" s="9"/>
    </row>
    <row r="1339" spans="4:25" ht="18.75" customHeight="1">
      <c r="D1339" s="9">
        <v>4</v>
      </c>
      <c r="E1339" s="788" t="str">
        <f>+'2.Capex Details'!C14</f>
        <v>Internal Road &amp; Wall Compound</v>
      </c>
      <c r="F1339" s="788"/>
      <c r="G1339" s="788"/>
      <c r="H1339" s="788"/>
      <c r="I1339" s="788"/>
      <c r="J1339" s="788"/>
      <c r="K1339" s="788"/>
      <c r="L1339" s="788"/>
      <c r="M1339" s="788"/>
      <c r="N1339" s="9"/>
      <c r="O1339" s="9"/>
      <c r="P1339" s="9"/>
      <c r="Q1339" s="208"/>
      <c r="R1339" s="9"/>
      <c r="S1339" s="9"/>
      <c r="T1339" s="9"/>
      <c r="U1339" s="9"/>
      <c r="V1339" s="9"/>
      <c r="W1339" s="9"/>
      <c r="X1339" s="9"/>
      <c r="Y1339" s="9"/>
    </row>
    <row r="1340" spans="4:25" ht="18" customHeight="1">
      <c r="D1340" s="9" t="s">
        <v>911</v>
      </c>
      <c r="E1340" s="786" t="s">
        <v>1148</v>
      </c>
      <c r="F1340" s="786"/>
      <c r="G1340" s="786"/>
      <c r="H1340" s="786"/>
      <c r="I1340" s="786"/>
      <c r="J1340" s="786"/>
      <c r="K1340" s="786"/>
      <c r="L1340" s="786"/>
      <c r="M1340" s="786"/>
      <c r="N1340" s="9"/>
      <c r="O1340" s="9"/>
      <c r="P1340" s="9"/>
      <c r="Q1340" s="9"/>
      <c r="R1340" s="9"/>
      <c r="S1340" s="9"/>
      <c r="T1340" s="9"/>
      <c r="U1340" s="9"/>
      <c r="V1340" s="9"/>
      <c r="W1340" s="9"/>
      <c r="X1340" s="9"/>
      <c r="Y1340" s="9"/>
    </row>
    <row r="1341" spans="4:25" ht="18" customHeight="1">
      <c r="D1341" s="9">
        <v>1</v>
      </c>
      <c r="E1341" s="788" t="s">
        <v>367</v>
      </c>
      <c r="F1341" s="788"/>
      <c r="G1341" s="788"/>
      <c r="H1341" s="788"/>
      <c r="I1341" s="788"/>
      <c r="J1341" s="788"/>
      <c r="K1341" s="788"/>
      <c r="L1341" s="788"/>
      <c r="M1341" s="788"/>
      <c r="N1341" s="208"/>
      <c r="O1341" s="9"/>
      <c r="P1341" s="9"/>
      <c r="Q1341" s="9"/>
      <c r="R1341" s="9"/>
      <c r="S1341" s="9"/>
      <c r="T1341" s="9"/>
      <c r="U1341" s="9"/>
      <c r="V1341" s="9"/>
      <c r="W1341" s="9"/>
      <c r="X1341" s="9"/>
      <c r="Y1341" s="9"/>
    </row>
    <row r="1342" spans="4:25" ht="18" customHeight="1">
      <c r="D1342" s="9">
        <v>2</v>
      </c>
      <c r="E1342" s="788" t="s">
        <v>1734</v>
      </c>
      <c r="F1342" s="788"/>
      <c r="G1342" s="788"/>
      <c r="H1342" s="788"/>
      <c r="I1342" s="788"/>
      <c r="J1342" s="788"/>
      <c r="K1342" s="788"/>
      <c r="L1342" s="788"/>
      <c r="M1342" s="788"/>
      <c r="N1342" s="9"/>
      <c r="O1342" s="208"/>
      <c r="P1342" s="9"/>
      <c r="Q1342" s="9"/>
      <c r="R1342" s="9"/>
      <c r="S1342" s="9"/>
      <c r="T1342" s="9"/>
      <c r="U1342" s="9"/>
      <c r="V1342" s="9"/>
      <c r="W1342" s="9"/>
      <c r="X1342" s="9"/>
      <c r="Y1342" s="9"/>
    </row>
    <row r="1343" spans="4:25" ht="18" customHeight="1">
      <c r="D1343" s="9">
        <v>3</v>
      </c>
      <c r="E1343" s="788" t="s">
        <v>808</v>
      </c>
      <c r="F1343" s="788"/>
      <c r="G1343" s="788"/>
      <c r="H1343" s="788"/>
      <c r="I1343" s="788"/>
      <c r="J1343" s="788"/>
      <c r="K1343" s="788"/>
      <c r="L1343" s="788"/>
      <c r="M1343" s="788"/>
      <c r="N1343" s="9"/>
      <c r="O1343" s="9"/>
      <c r="P1343" s="208"/>
      <c r="Q1343" s="9"/>
      <c r="R1343" s="9"/>
      <c r="S1343" s="9"/>
      <c r="T1343" s="9"/>
      <c r="U1343" s="9"/>
      <c r="V1343" s="9"/>
      <c r="W1343" s="9"/>
      <c r="X1343" s="9"/>
      <c r="Y1343" s="9"/>
    </row>
    <row r="1344" spans="4:25" ht="18" customHeight="1">
      <c r="D1344" s="9">
        <v>4</v>
      </c>
      <c r="E1344" s="790" t="s">
        <v>140</v>
      </c>
      <c r="F1344" s="791"/>
      <c r="G1344" s="791"/>
      <c r="H1344" s="791"/>
      <c r="I1344" s="791"/>
      <c r="J1344" s="791"/>
      <c r="K1344" s="791"/>
      <c r="L1344" s="791"/>
      <c r="M1344" s="792"/>
      <c r="N1344" s="9"/>
      <c r="O1344" s="208"/>
      <c r="P1344" s="9"/>
      <c r="Q1344" s="9"/>
      <c r="R1344" s="9"/>
      <c r="S1344" s="9"/>
      <c r="T1344" s="9"/>
      <c r="U1344" s="9"/>
      <c r="V1344" s="9"/>
      <c r="W1344" s="9"/>
      <c r="X1344" s="9"/>
      <c r="Y1344" s="9"/>
    </row>
    <row r="1345" spans="4:25" ht="18" customHeight="1">
      <c r="D1345" s="9">
        <v>5</v>
      </c>
      <c r="E1345" s="790" t="s">
        <v>809</v>
      </c>
      <c r="F1345" s="791"/>
      <c r="G1345" s="791"/>
      <c r="H1345" s="791"/>
      <c r="I1345" s="791"/>
      <c r="J1345" s="791"/>
      <c r="K1345" s="791"/>
      <c r="L1345" s="791"/>
      <c r="M1345" s="792"/>
      <c r="N1345" s="9"/>
      <c r="O1345" s="9"/>
      <c r="P1345" s="208"/>
      <c r="Q1345" s="9"/>
      <c r="R1345" s="9"/>
      <c r="S1345" s="9"/>
      <c r="T1345" s="9"/>
      <c r="U1345" s="9"/>
      <c r="V1345" s="9"/>
      <c r="W1345" s="9"/>
      <c r="X1345" s="9"/>
      <c r="Y1345" s="9"/>
    </row>
    <row r="1346" spans="4:25" ht="18" customHeight="1">
      <c r="D1346" s="9">
        <v>6</v>
      </c>
      <c r="E1346" s="788" t="s">
        <v>1724</v>
      </c>
      <c r="F1346" s="788"/>
      <c r="G1346" s="788"/>
      <c r="H1346" s="788"/>
      <c r="I1346" s="788"/>
      <c r="J1346" s="788"/>
      <c r="K1346" s="788"/>
      <c r="L1346" s="788"/>
      <c r="M1346" s="788"/>
      <c r="N1346" s="9"/>
      <c r="O1346" s="9"/>
      <c r="P1346" s="9"/>
      <c r="Q1346" s="9"/>
      <c r="R1346" s="208"/>
      <c r="S1346" s="9"/>
      <c r="T1346" s="9"/>
      <c r="U1346" s="9"/>
      <c r="V1346" s="9"/>
      <c r="W1346" s="9"/>
      <c r="X1346" s="9"/>
      <c r="Y1346" s="9"/>
    </row>
    <row r="1347" spans="4:25" ht="18" customHeight="1">
      <c r="D1347" s="9">
        <v>7</v>
      </c>
      <c r="E1347" s="788" t="str">
        <f>+'2.Capex Details'!C127</f>
        <v>Insulated/ non-insulated distribution vehicle</v>
      </c>
      <c r="F1347" s="788"/>
      <c r="G1347" s="788"/>
      <c r="H1347" s="788"/>
      <c r="I1347" s="788"/>
      <c r="J1347" s="788"/>
      <c r="K1347" s="788"/>
      <c r="L1347" s="788"/>
      <c r="M1347" s="788"/>
      <c r="N1347" s="9"/>
      <c r="O1347" s="9"/>
      <c r="P1347" s="9"/>
      <c r="Q1347" s="9"/>
      <c r="R1347" s="9"/>
      <c r="S1347" s="208"/>
      <c r="T1347" s="9"/>
      <c r="U1347" s="9"/>
      <c r="V1347" s="9"/>
      <c r="W1347" s="9"/>
      <c r="X1347" s="9"/>
      <c r="Y1347" s="9"/>
    </row>
    <row r="1348" spans="4:25" ht="18" customHeight="1">
      <c r="D1348" s="9" t="s">
        <v>933</v>
      </c>
      <c r="E1348" s="786" t="s">
        <v>1149</v>
      </c>
      <c r="F1348" s="786"/>
      <c r="G1348" s="786"/>
      <c r="H1348" s="786"/>
      <c r="I1348" s="786"/>
      <c r="J1348" s="786"/>
      <c r="K1348" s="786"/>
      <c r="L1348" s="786"/>
      <c r="M1348" s="786"/>
      <c r="N1348" s="9"/>
      <c r="O1348" s="9"/>
      <c r="P1348" s="9"/>
      <c r="Q1348" s="9"/>
      <c r="R1348" s="9"/>
      <c r="S1348" s="9"/>
      <c r="T1348" s="9"/>
      <c r="U1348" s="9"/>
      <c r="V1348" s="9"/>
      <c r="W1348" s="9"/>
      <c r="X1348" s="9"/>
      <c r="Y1348" s="9"/>
    </row>
    <row r="1349" spans="4:25" ht="21" customHeight="1">
      <c r="D1349" s="9">
        <v>1</v>
      </c>
      <c r="E1349" s="788" t="s">
        <v>367</v>
      </c>
      <c r="F1349" s="788"/>
      <c r="G1349" s="788"/>
      <c r="H1349" s="788"/>
      <c r="I1349" s="788"/>
      <c r="J1349" s="788"/>
      <c r="K1349" s="788"/>
      <c r="L1349" s="788"/>
      <c r="M1349" s="788"/>
      <c r="N1349" s="208"/>
      <c r="O1349" s="9"/>
      <c r="P1349" s="9"/>
      <c r="Q1349" s="9"/>
      <c r="R1349" s="9"/>
      <c r="S1349" s="9"/>
      <c r="T1349" s="9"/>
      <c r="U1349" s="9"/>
      <c r="V1349" s="9"/>
      <c r="W1349" s="9"/>
      <c r="X1349" s="9"/>
      <c r="Y1349" s="9"/>
    </row>
    <row r="1350" spans="4:25" ht="20.25" customHeight="1">
      <c r="D1350" s="9">
        <v>2</v>
      </c>
      <c r="E1350" s="788" t="s">
        <v>1734</v>
      </c>
      <c r="F1350" s="788"/>
      <c r="G1350" s="788"/>
      <c r="H1350" s="788"/>
      <c r="I1350" s="788"/>
      <c r="J1350" s="788"/>
      <c r="K1350" s="788"/>
      <c r="L1350" s="788"/>
      <c r="M1350" s="788"/>
      <c r="N1350" s="9"/>
      <c r="O1350" s="9"/>
      <c r="P1350" s="208"/>
      <c r="Q1350" s="9"/>
      <c r="R1350" s="9"/>
      <c r="S1350" s="9"/>
      <c r="T1350" s="9"/>
      <c r="U1350" s="9"/>
      <c r="V1350" s="9"/>
      <c r="W1350" s="9"/>
      <c r="X1350" s="9"/>
      <c r="Y1350" s="9"/>
    </row>
    <row r="1351" spans="4:25" ht="20.25" customHeight="1">
      <c r="D1351" s="9">
        <v>3</v>
      </c>
      <c r="E1351" s="788" t="s">
        <v>808</v>
      </c>
      <c r="F1351" s="788"/>
      <c r="G1351" s="788"/>
      <c r="H1351" s="788"/>
      <c r="I1351" s="788"/>
      <c r="J1351" s="788"/>
      <c r="K1351" s="788"/>
      <c r="L1351" s="788"/>
      <c r="M1351" s="788"/>
      <c r="N1351" s="9"/>
      <c r="O1351" s="9"/>
      <c r="P1351" s="9"/>
      <c r="Q1351" s="208"/>
      <c r="R1351" s="9"/>
      <c r="S1351" s="9"/>
      <c r="T1351" s="9"/>
      <c r="U1351" s="9"/>
      <c r="V1351" s="9"/>
      <c r="W1351" s="9"/>
      <c r="X1351" s="9"/>
      <c r="Y1351" s="9"/>
    </row>
    <row r="1352" spans="4:25" ht="20.25" customHeight="1">
      <c r="D1352" s="9">
        <v>4</v>
      </c>
      <c r="E1352" s="790" t="s">
        <v>140</v>
      </c>
      <c r="F1352" s="791"/>
      <c r="G1352" s="791"/>
      <c r="H1352" s="791"/>
      <c r="I1352" s="791"/>
      <c r="J1352" s="791"/>
      <c r="K1352" s="791"/>
      <c r="L1352" s="791"/>
      <c r="M1352" s="792"/>
      <c r="N1352" s="9"/>
      <c r="O1352" s="9"/>
      <c r="P1352" s="208"/>
      <c r="Q1352" s="9"/>
      <c r="R1352" s="9"/>
      <c r="S1352" s="9"/>
      <c r="T1352" s="9"/>
      <c r="U1352" s="9"/>
      <c r="V1352" s="9"/>
      <c r="W1352" s="9"/>
      <c r="X1352" s="9"/>
      <c r="Y1352" s="9"/>
    </row>
    <row r="1353" spans="4:25" ht="20.25" customHeight="1">
      <c r="D1353" s="9">
        <v>5</v>
      </c>
      <c r="E1353" s="790" t="s">
        <v>809</v>
      </c>
      <c r="F1353" s="791"/>
      <c r="G1353" s="791"/>
      <c r="H1353" s="791"/>
      <c r="I1353" s="791"/>
      <c r="J1353" s="791"/>
      <c r="K1353" s="791"/>
      <c r="L1353" s="791"/>
      <c r="M1353" s="792"/>
      <c r="N1353" s="9"/>
      <c r="O1353" s="9"/>
      <c r="P1353" s="9"/>
      <c r="Q1353" s="208"/>
      <c r="R1353" s="9"/>
      <c r="S1353" s="9"/>
      <c r="T1353" s="9"/>
      <c r="U1353" s="9"/>
      <c r="V1353" s="9"/>
      <c r="W1353" s="9"/>
      <c r="X1353" s="9"/>
      <c r="Y1353" s="9"/>
    </row>
    <row r="1354" spans="4:25" ht="20.25" customHeight="1">
      <c r="D1354" s="9">
        <v>6</v>
      </c>
      <c r="E1354" s="788" t="s">
        <v>1724</v>
      </c>
      <c r="F1354" s="788"/>
      <c r="G1354" s="788"/>
      <c r="H1354" s="788"/>
      <c r="I1354" s="788"/>
      <c r="J1354" s="788"/>
      <c r="K1354" s="788"/>
      <c r="L1354" s="788"/>
      <c r="M1354" s="788"/>
      <c r="N1354" s="9"/>
      <c r="O1354" s="9"/>
      <c r="P1354" s="9"/>
      <c r="Q1354" s="9"/>
      <c r="R1354" s="9"/>
      <c r="S1354" s="208"/>
      <c r="T1354" s="9"/>
      <c r="U1354" s="9"/>
      <c r="V1354" s="9"/>
      <c r="W1354" s="9"/>
      <c r="X1354" s="9"/>
      <c r="Y1354" s="9"/>
    </row>
    <row r="1355" spans="4:25" ht="20.25" customHeight="1">
      <c r="D1355" s="9">
        <v>7</v>
      </c>
      <c r="E1355" s="788" t="str">
        <f>+E1347</f>
        <v>Insulated/ non-insulated distribution vehicle</v>
      </c>
      <c r="F1355" s="788"/>
      <c r="G1355" s="788"/>
      <c r="H1355" s="788"/>
      <c r="I1355" s="788"/>
      <c r="J1355" s="788"/>
      <c r="K1355" s="788"/>
      <c r="L1355" s="788"/>
      <c r="M1355" s="788"/>
      <c r="N1355" s="9"/>
      <c r="O1355" s="9"/>
      <c r="P1355" s="9"/>
      <c r="Q1355" s="9"/>
      <c r="R1355" s="9"/>
      <c r="S1355" s="208"/>
      <c r="T1355" s="9"/>
      <c r="U1355" s="9"/>
      <c r="V1355" s="9"/>
      <c r="W1355" s="9"/>
      <c r="X1355" s="9"/>
      <c r="Y1355" s="9"/>
    </row>
    <row r="1356" spans="4:25" ht="27.75" customHeight="1">
      <c r="D1356" s="9" t="s">
        <v>934</v>
      </c>
      <c r="E1356" s="786" t="s">
        <v>1150</v>
      </c>
      <c r="F1356" s="786"/>
      <c r="G1356" s="786"/>
      <c r="H1356" s="786"/>
      <c r="I1356" s="786"/>
      <c r="J1356" s="786"/>
      <c r="K1356" s="786"/>
      <c r="L1356" s="786"/>
      <c r="M1356" s="786"/>
      <c r="N1356" s="213"/>
      <c r="O1356" s="9"/>
      <c r="P1356" s="9"/>
      <c r="Q1356" s="9"/>
      <c r="R1356" s="9"/>
      <c r="S1356" s="9"/>
      <c r="T1356" s="9"/>
      <c r="U1356" s="9"/>
      <c r="V1356" s="9"/>
      <c r="W1356" s="9"/>
      <c r="X1356" s="9"/>
      <c r="Y1356" s="9"/>
    </row>
    <row r="1357" spans="4:25" ht="18.75" customHeight="1">
      <c r="D1357" s="9">
        <v>1</v>
      </c>
      <c r="E1357" s="788" t="s">
        <v>367</v>
      </c>
      <c r="F1357" s="788"/>
      <c r="G1357" s="788"/>
      <c r="H1357" s="788"/>
      <c r="I1357" s="788"/>
      <c r="J1357" s="788"/>
      <c r="K1357" s="788"/>
      <c r="L1357" s="788"/>
      <c r="M1357" s="788"/>
      <c r="N1357" s="208"/>
      <c r="O1357" s="9"/>
      <c r="P1357" s="9"/>
      <c r="Q1357" s="9"/>
      <c r="R1357" s="9"/>
      <c r="S1357" s="9"/>
      <c r="T1357" s="9"/>
      <c r="U1357" s="9"/>
      <c r="V1357" s="9"/>
      <c r="W1357" s="9"/>
      <c r="X1357" s="9"/>
      <c r="Y1357" s="9"/>
    </row>
    <row r="1358" spans="4:25" ht="21.75" customHeight="1">
      <c r="D1358" s="9">
        <v>2</v>
      </c>
      <c r="E1358" s="788" t="s">
        <v>1734</v>
      </c>
      <c r="F1358" s="788"/>
      <c r="G1358" s="788"/>
      <c r="H1358" s="788"/>
      <c r="I1358" s="788"/>
      <c r="J1358" s="788"/>
      <c r="K1358" s="788"/>
      <c r="L1358" s="788"/>
      <c r="M1358" s="788"/>
      <c r="N1358" s="213"/>
      <c r="O1358" s="9"/>
      <c r="P1358" s="9"/>
      <c r="Q1358" s="208"/>
      <c r="R1358" s="9"/>
      <c r="S1358" s="9"/>
      <c r="T1358" s="9"/>
      <c r="U1358" s="9"/>
      <c r="V1358" s="9"/>
      <c r="W1358" s="9"/>
      <c r="X1358" s="9"/>
      <c r="Y1358" s="9"/>
    </row>
    <row r="1359" spans="4:25" ht="21.75" customHeight="1">
      <c r="D1359" s="9">
        <v>3</v>
      </c>
      <c r="E1359" s="788" t="s">
        <v>808</v>
      </c>
      <c r="F1359" s="788"/>
      <c r="G1359" s="788"/>
      <c r="H1359" s="788"/>
      <c r="I1359" s="788"/>
      <c r="J1359" s="788"/>
      <c r="K1359" s="788"/>
      <c r="L1359" s="788"/>
      <c r="M1359" s="788"/>
      <c r="N1359" s="213"/>
      <c r="O1359" s="9"/>
      <c r="P1359" s="9"/>
      <c r="Q1359" s="9"/>
      <c r="R1359" s="208"/>
      <c r="S1359" s="9"/>
      <c r="T1359" s="9"/>
      <c r="U1359" s="9"/>
      <c r="V1359" s="9"/>
      <c r="W1359" s="9"/>
      <c r="X1359" s="9"/>
      <c r="Y1359" s="9"/>
    </row>
    <row r="1360" spans="4:25" ht="21.75" customHeight="1">
      <c r="D1360" s="9">
        <v>4</v>
      </c>
      <c r="E1360" s="790" t="s">
        <v>140</v>
      </c>
      <c r="F1360" s="791"/>
      <c r="G1360" s="791"/>
      <c r="H1360" s="791"/>
      <c r="I1360" s="791"/>
      <c r="J1360" s="791"/>
      <c r="K1360" s="791"/>
      <c r="L1360" s="791"/>
      <c r="M1360" s="792"/>
      <c r="N1360" s="213"/>
      <c r="O1360" s="9"/>
      <c r="P1360" s="9"/>
      <c r="Q1360" s="208"/>
      <c r="R1360" s="9"/>
      <c r="S1360" s="9"/>
      <c r="T1360" s="9"/>
      <c r="U1360" s="9"/>
      <c r="V1360" s="9"/>
      <c r="W1360" s="9"/>
      <c r="X1360" s="9"/>
      <c r="Y1360" s="9"/>
    </row>
    <row r="1361" spans="4:25" ht="21.75" customHeight="1">
      <c r="D1361" s="9">
        <v>5</v>
      </c>
      <c r="E1361" s="790" t="s">
        <v>809</v>
      </c>
      <c r="F1361" s="791"/>
      <c r="G1361" s="791"/>
      <c r="H1361" s="791"/>
      <c r="I1361" s="791"/>
      <c r="J1361" s="791"/>
      <c r="K1361" s="791"/>
      <c r="L1361" s="791"/>
      <c r="M1361" s="792"/>
      <c r="N1361" s="213"/>
      <c r="O1361" s="9"/>
      <c r="P1361" s="9"/>
      <c r="Q1361" s="9"/>
      <c r="R1361" s="208"/>
      <c r="S1361" s="9"/>
      <c r="T1361" s="9"/>
      <c r="U1361" s="9"/>
      <c r="V1361" s="9"/>
      <c r="W1361" s="9"/>
      <c r="X1361" s="9"/>
      <c r="Y1361" s="9"/>
    </row>
    <row r="1362" spans="4:25" ht="21.75" customHeight="1">
      <c r="D1362" s="9">
        <v>6</v>
      </c>
      <c r="E1362" s="788" t="s">
        <v>1724</v>
      </c>
      <c r="F1362" s="788"/>
      <c r="G1362" s="788"/>
      <c r="H1362" s="788"/>
      <c r="I1362" s="788"/>
      <c r="J1362" s="788"/>
      <c r="K1362" s="788"/>
      <c r="L1362" s="788"/>
      <c r="M1362" s="788"/>
      <c r="N1362" s="213"/>
      <c r="O1362" s="9"/>
      <c r="P1362" s="9"/>
      <c r="Q1362" s="9"/>
      <c r="R1362" s="9"/>
      <c r="S1362" s="9"/>
      <c r="T1362" s="208"/>
      <c r="U1362" s="9"/>
      <c r="V1362" s="9"/>
      <c r="W1362" s="9"/>
      <c r="X1362" s="9"/>
      <c r="Y1362" s="9"/>
    </row>
    <row r="1363" spans="4:25" ht="21.75" customHeight="1">
      <c r="D1363" s="9">
        <v>7</v>
      </c>
      <c r="E1363" s="786" t="str">
        <f>+E1347</f>
        <v>Insulated/ non-insulated distribution vehicle</v>
      </c>
      <c r="F1363" s="786"/>
      <c r="G1363" s="786"/>
      <c r="H1363" s="786"/>
      <c r="I1363" s="786"/>
      <c r="J1363" s="786"/>
      <c r="K1363" s="786"/>
      <c r="L1363" s="786"/>
      <c r="M1363" s="786"/>
      <c r="N1363" s="213"/>
      <c r="O1363" s="9"/>
      <c r="P1363" s="9"/>
      <c r="Q1363" s="9"/>
      <c r="R1363" s="9"/>
      <c r="S1363" s="9"/>
      <c r="T1363" s="208"/>
      <c r="U1363" s="9"/>
      <c r="V1363" s="9"/>
      <c r="W1363" s="9"/>
      <c r="X1363" s="9"/>
      <c r="Y1363" s="9"/>
    </row>
    <row r="1364" spans="4:25">
      <c r="D1364" t="s">
        <v>1151</v>
      </c>
    </row>
    <row r="1371" spans="4:25">
      <c r="D1371" s="5" t="s">
        <v>1152</v>
      </c>
    </row>
    <row r="1373" spans="4:25">
      <c r="D1373" t="s">
        <v>1153</v>
      </c>
    </row>
    <row r="1374" spans="4:25" ht="8.25" customHeight="1"/>
    <row r="1375" spans="4:25">
      <c r="D1375" s="5" t="s">
        <v>1154</v>
      </c>
    </row>
    <row r="1377" spans="4:25" ht="44.25" customHeight="1">
      <c r="D1377" s="476" t="s">
        <v>1114</v>
      </c>
      <c r="E1377" s="845" t="s">
        <v>1155</v>
      </c>
      <c r="F1377" s="845"/>
      <c r="G1377" s="845"/>
      <c r="H1377" s="845"/>
      <c r="I1377" s="845"/>
      <c r="J1377" s="845"/>
      <c r="K1377" s="845"/>
      <c r="L1377" s="845"/>
      <c r="M1377" s="845" t="s">
        <v>901</v>
      </c>
      <c r="N1377" s="845"/>
      <c r="O1377" s="845"/>
      <c r="P1377" s="845" t="s">
        <v>1156</v>
      </c>
      <c r="Q1377" s="845"/>
      <c r="R1377" s="845"/>
      <c r="S1377" s="845" t="s">
        <v>902</v>
      </c>
      <c r="T1377" s="845"/>
      <c r="U1377" s="845"/>
      <c r="V1377" s="845" t="s">
        <v>1127</v>
      </c>
      <c r="W1377" s="845"/>
      <c r="X1377" s="845"/>
      <c r="Y1377" s="845"/>
    </row>
    <row r="1378" spans="4:25">
      <c r="D1378" s="260">
        <v>1</v>
      </c>
      <c r="E1378" s="816" t="s">
        <v>1157</v>
      </c>
      <c r="F1378" s="816"/>
      <c r="G1378" s="816"/>
      <c r="H1378" s="816"/>
      <c r="I1378" s="816"/>
      <c r="J1378" s="816"/>
      <c r="K1378" s="816"/>
      <c r="L1378" s="816"/>
      <c r="M1378" s="855"/>
      <c r="N1378" s="855"/>
      <c r="O1378" s="855"/>
      <c r="P1378" s="855"/>
      <c r="Q1378" s="855"/>
      <c r="R1378" s="855"/>
      <c r="S1378" s="855"/>
      <c r="T1378" s="855"/>
      <c r="U1378" s="855"/>
      <c r="V1378" s="908">
        <f>+'1.Project Cost and MOF (2)'!D5</f>
        <v>19004500</v>
      </c>
      <c r="W1378" s="908"/>
      <c r="X1378" s="908"/>
      <c r="Y1378" s="908"/>
    </row>
    <row r="1379" spans="4:25">
      <c r="D1379" s="260">
        <v>2</v>
      </c>
      <c r="E1379" s="816" t="s">
        <v>1158</v>
      </c>
      <c r="F1379" s="816"/>
      <c r="G1379" s="816"/>
      <c r="H1379" s="816"/>
      <c r="I1379" s="816"/>
      <c r="J1379" s="816"/>
      <c r="K1379" s="816"/>
      <c r="L1379" s="816"/>
      <c r="M1379" s="855"/>
      <c r="N1379" s="855"/>
      <c r="O1379" s="855"/>
      <c r="P1379" s="855"/>
      <c r="Q1379" s="855"/>
      <c r="R1379" s="855"/>
      <c r="S1379" s="855"/>
      <c r="T1379" s="855"/>
      <c r="U1379" s="855"/>
      <c r="V1379" s="908">
        <f>+'1.Project Cost and MOF (2)'!D6</f>
        <v>18127932.961199999</v>
      </c>
      <c r="W1379" s="908"/>
      <c r="X1379" s="908"/>
      <c r="Y1379" s="908"/>
    </row>
    <row r="1380" spans="4:25">
      <c r="D1380" s="260">
        <v>3</v>
      </c>
      <c r="E1380" s="816" t="s">
        <v>1159</v>
      </c>
      <c r="F1380" s="816"/>
      <c r="G1380" s="816"/>
      <c r="H1380" s="816"/>
      <c r="I1380" s="816"/>
      <c r="J1380" s="816"/>
      <c r="K1380" s="816"/>
      <c r="L1380" s="816"/>
      <c r="M1380" s="855"/>
      <c r="N1380" s="855"/>
      <c r="O1380" s="855"/>
      <c r="P1380" s="855"/>
      <c r="Q1380" s="855"/>
      <c r="R1380" s="855"/>
      <c r="S1380" s="855"/>
      <c r="T1380" s="855"/>
      <c r="U1380" s="855"/>
      <c r="V1380" s="908">
        <f>+'1.Project Cost and MOF (2)'!D7</f>
        <v>0</v>
      </c>
      <c r="W1380" s="908"/>
      <c r="X1380" s="908"/>
      <c r="Y1380" s="908"/>
    </row>
    <row r="1381" spans="4:25">
      <c r="D1381" s="260">
        <v>4</v>
      </c>
      <c r="E1381" s="816" t="s">
        <v>1160</v>
      </c>
      <c r="F1381" s="816"/>
      <c r="G1381" s="816"/>
      <c r="H1381" s="816"/>
      <c r="I1381" s="816"/>
      <c r="J1381" s="816"/>
      <c r="K1381" s="816"/>
      <c r="L1381" s="816"/>
      <c r="M1381" s="855"/>
      <c r="N1381" s="855"/>
      <c r="O1381" s="855"/>
      <c r="P1381" s="855"/>
      <c r="Q1381" s="855"/>
      <c r="R1381" s="855"/>
      <c r="S1381" s="855"/>
      <c r="T1381" s="855"/>
      <c r="U1381" s="855"/>
      <c r="V1381" s="908">
        <f>+'1.Project Cost and MOF (2)'!D8</f>
        <v>0</v>
      </c>
      <c r="W1381" s="908"/>
      <c r="X1381" s="908"/>
      <c r="Y1381" s="908"/>
    </row>
    <row r="1382" spans="4:25">
      <c r="D1382" s="260">
        <v>5</v>
      </c>
      <c r="E1382" s="816" t="str">
        <f>+'1.Project Cost and MOF (2)'!C9</f>
        <v>Transport vehical  (Refer van and other)</v>
      </c>
      <c r="F1382" s="816"/>
      <c r="G1382" s="816"/>
      <c r="H1382" s="816"/>
      <c r="I1382" s="816"/>
      <c r="J1382" s="816"/>
      <c r="K1382" s="816"/>
      <c r="L1382" s="816"/>
      <c r="M1382" s="855"/>
      <c r="N1382" s="855"/>
      <c r="O1382" s="855"/>
      <c r="P1382" s="855"/>
      <c r="Q1382" s="855"/>
      <c r="R1382" s="855"/>
      <c r="S1382" s="855"/>
      <c r="T1382" s="855"/>
      <c r="U1382" s="855"/>
      <c r="V1382" s="908">
        <f>+'1.Project Cost and MOF (2)'!D9</f>
        <v>0</v>
      </c>
      <c r="W1382" s="908"/>
      <c r="X1382" s="908"/>
      <c r="Y1382" s="908"/>
    </row>
    <row r="1383" spans="4:25" ht="34.5" customHeight="1">
      <c r="D1383" s="260">
        <v>6</v>
      </c>
      <c r="E1383" s="909" t="s">
        <v>1161</v>
      </c>
      <c r="F1383" s="909"/>
      <c r="G1383" s="909"/>
      <c r="H1383" s="909"/>
      <c r="I1383" s="909"/>
      <c r="J1383" s="909"/>
      <c r="K1383" s="909"/>
      <c r="L1383" s="909"/>
      <c r="M1383" s="855"/>
      <c r="N1383" s="855"/>
      <c r="O1383" s="855"/>
      <c r="P1383" s="855"/>
      <c r="Q1383" s="855"/>
      <c r="R1383" s="855"/>
      <c r="S1383" s="855"/>
      <c r="T1383" s="855"/>
      <c r="U1383" s="855"/>
      <c r="V1383" s="910">
        <f>+'1.Project Cost and MOF (2)'!D10</f>
        <v>1883203</v>
      </c>
      <c r="W1383" s="910"/>
      <c r="X1383" s="910"/>
      <c r="Y1383" s="910"/>
    </row>
    <row r="1384" spans="4:25">
      <c r="D1384" s="260">
        <v>7</v>
      </c>
      <c r="E1384" s="816" t="str">
        <f>+'1.Project Cost and MOF (2)'!C11</f>
        <v>Working Capital</v>
      </c>
      <c r="F1384" s="816"/>
      <c r="G1384" s="816"/>
      <c r="H1384" s="816"/>
      <c r="I1384" s="816"/>
      <c r="J1384" s="816"/>
      <c r="K1384" s="816"/>
      <c r="L1384" s="816"/>
      <c r="M1384" s="855"/>
      <c r="N1384" s="855"/>
      <c r="O1384" s="855"/>
      <c r="P1384" s="855"/>
      <c r="Q1384" s="855"/>
      <c r="R1384" s="855"/>
      <c r="S1384" s="855"/>
      <c r="T1384" s="855"/>
      <c r="U1384" s="855"/>
      <c r="V1384" s="908">
        <f>+'1.Project Cost and MOF (2)'!D11</f>
        <v>955691.00195066223</v>
      </c>
      <c r="W1384" s="908"/>
      <c r="X1384" s="908"/>
      <c r="Y1384" s="908"/>
    </row>
    <row r="1385" spans="4:25">
      <c r="D1385" s="260"/>
      <c r="E1385" s="911" t="s">
        <v>906</v>
      </c>
      <c r="F1385" s="911"/>
      <c r="G1385" s="911"/>
      <c r="H1385" s="911"/>
      <c r="I1385" s="911"/>
      <c r="J1385" s="911"/>
      <c r="K1385" s="911"/>
      <c r="L1385" s="911"/>
      <c r="M1385" s="855"/>
      <c r="N1385" s="855"/>
      <c r="O1385" s="855"/>
      <c r="P1385" s="855"/>
      <c r="Q1385" s="855"/>
      <c r="R1385" s="855"/>
      <c r="S1385" s="855"/>
      <c r="T1385" s="855"/>
      <c r="U1385" s="855"/>
      <c r="V1385" s="912">
        <f>SUM(V1378:Y1384)</f>
        <v>39971326.963150658</v>
      </c>
      <c r="W1385" s="912"/>
      <c r="X1385" s="912"/>
      <c r="Y1385" s="912"/>
    </row>
    <row r="1386" spans="4:25" ht="12.75" customHeight="1"/>
    <row r="1387" spans="4:25">
      <c r="D1387" s="5" t="s">
        <v>1162</v>
      </c>
    </row>
    <row r="1388" spans="4:25" ht="11.25" customHeight="1"/>
    <row r="1389" spans="4:25" ht="32.25" customHeight="1">
      <c r="D1389" s="867" t="s">
        <v>1166</v>
      </c>
      <c r="E1389" s="867"/>
      <c r="F1389" s="867" t="s">
        <v>1165</v>
      </c>
      <c r="G1389" s="867"/>
      <c r="H1389" s="867"/>
      <c r="I1389" s="867"/>
      <c r="J1389" s="867"/>
      <c r="K1389" s="867"/>
      <c r="L1389" s="867"/>
      <c r="M1389" s="867"/>
      <c r="N1389" s="867"/>
      <c r="O1389" s="867"/>
      <c r="P1389" s="867"/>
      <c r="Q1389" s="867"/>
      <c r="R1389" s="867"/>
      <c r="S1389" s="845" t="s">
        <v>1490</v>
      </c>
      <c r="T1389" s="867"/>
      <c r="U1389" s="867"/>
      <c r="V1389" s="867" t="s">
        <v>1163</v>
      </c>
      <c r="W1389" s="867"/>
      <c r="X1389" s="867"/>
      <c r="Y1389" s="867"/>
    </row>
    <row r="1390" spans="4:25" ht="24.75" customHeight="1">
      <c r="D1390" s="786">
        <v>1</v>
      </c>
      <c r="E1390" s="786"/>
      <c r="F1390" s="788" t="s">
        <v>1167</v>
      </c>
      <c r="G1390" s="788"/>
      <c r="H1390" s="788"/>
      <c r="I1390" s="788"/>
      <c r="J1390" s="788"/>
      <c r="K1390" s="788"/>
      <c r="L1390" s="788"/>
      <c r="M1390" s="788"/>
      <c r="N1390" s="788"/>
      <c r="O1390" s="788"/>
      <c r="P1390" s="788"/>
      <c r="Q1390" s="788"/>
      <c r="R1390" s="788"/>
      <c r="S1390" s="904">
        <f>+'1.Project Cost and MOF (2)'!F19</f>
        <v>20000000</v>
      </c>
      <c r="T1390" s="787"/>
      <c r="U1390" s="787"/>
      <c r="V1390" s="905">
        <v>0.6</v>
      </c>
      <c r="W1390" s="786"/>
      <c r="X1390" s="786"/>
      <c r="Y1390" s="786"/>
    </row>
    <row r="1391" spans="4:25" ht="20.25" customHeight="1">
      <c r="D1391" s="786">
        <v>2</v>
      </c>
      <c r="E1391" s="786"/>
      <c r="F1391" s="788" t="s">
        <v>1168</v>
      </c>
      <c r="G1391" s="788"/>
      <c r="H1391" s="788"/>
      <c r="I1391" s="788"/>
      <c r="J1391" s="788"/>
      <c r="K1391" s="788"/>
      <c r="L1391" s="788"/>
      <c r="M1391" s="788"/>
      <c r="N1391" s="788"/>
      <c r="O1391" s="788"/>
      <c r="P1391" s="788"/>
      <c r="Q1391" s="788"/>
      <c r="R1391" s="788"/>
      <c r="S1391" s="904">
        <f>+'1.Project Cost and MOF (2)'!F21</f>
        <v>4857254.5980706625</v>
      </c>
      <c r="T1391" s="787"/>
      <c r="U1391" s="787"/>
      <c r="V1391" s="905">
        <v>0.1</v>
      </c>
      <c r="W1391" s="786"/>
      <c r="X1391" s="786"/>
      <c r="Y1391" s="786"/>
    </row>
    <row r="1392" spans="4:25" ht="24.75" customHeight="1">
      <c r="D1392" s="786">
        <v>3</v>
      </c>
      <c r="E1392" s="786"/>
      <c r="F1392" s="788" t="s">
        <v>1169</v>
      </c>
      <c r="G1392" s="788"/>
      <c r="H1392" s="788"/>
      <c r="I1392" s="788"/>
      <c r="J1392" s="788"/>
      <c r="K1392" s="788"/>
      <c r="L1392" s="788"/>
      <c r="M1392" s="788"/>
      <c r="N1392" s="788"/>
      <c r="O1392" s="788"/>
      <c r="P1392" s="788"/>
      <c r="Q1392" s="788"/>
      <c r="R1392" s="788"/>
      <c r="S1392" s="904">
        <f>+'1.Project Cost and MOF (2)'!F20</f>
        <v>15114072.365079995</v>
      </c>
      <c r="T1392" s="787"/>
      <c r="U1392" s="787"/>
      <c r="V1392" s="905">
        <v>0.3</v>
      </c>
      <c r="W1392" s="786"/>
      <c r="X1392" s="786"/>
      <c r="Y1392" s="786"/>
    </row>
    <row r="1393" spans="4:25" ht="16.5" customHeight="1">
      <c r="D1393" s="786">
        <v>4</v>
      </c>
      <c r="E1393" s="786"/>
      <c r="F1393" s="788" t="s">
        <v>1130</v>
      </c>
      <c r="G1393" s="788"/>
      <c r="H1393" s="788"/>
      <c r="I1393" s="788"/>
      <c r="J1393" s="788"/>
      <c r="K1393" s="788"/>
      <c r="L1393" s="788"/>
      <c r="M1393" s="788"/>
      <c r="N1393" s="788"/>
      <c r="O1393" s="788"/>
      <c r="P1393" s="788"/>
      <c r="Q1393" s="788"/>
      <c r="R1393" s="788"/>
      <c r="S1393" s="904"/>
      <c r="T1393" s="787"/>
      <c r="U1393" s="787"/>
      <c r="V1393" s="786"/>
      <c r="W1393" s="786"/>
      <c r="X1393" s="786"/>
      <c r="Y1393" s="786"/>
    </row>
    <row r="1394" spans="4:25" s="5" customFormat="1" ht="21.75" customHeight="1">
      <c r="D1394" s="852"/>
      <c r="E1394" s="852"/>
      <c r="F1394" s="794" t="s">
        <v>1170</v>
      </c>
      <c r="G1394" s="794"/>
      <c r="H1394" s="794"/>
      <c r="I1394" s="794"/>
      <c r="J1394" s="794"/>
      <c r="K1394" s="794"/>
      <c r="L1394" s="794"/>
      <c r="M1394" s="794"/>
      <c r="N1394" s="794"/>
      <c r="O1394" s="794"/>
      <c r="P1394" s="794"/>
      <c r="Q1394" s="794"/>
      <c r="R1394" s="794"/>
      <c r="S1394" s="906">
        <f>SUM(S1390:U1393)</f>
        <v>39971326.963150658</v>
      </c>
      <c r="T1394" s="903"/>
      <c r="U1394" s="903"/>
      <c r="V1394" s="907">
        <f>SUM(V1390:Y1393)</f>
        <v>1</v>
      </c>
      <c r="W1394" s="852"/>
      <c r="X1394" s="852"/>
      <c r="Y1394" s="852"/>
    </row>
    <row r="1395" spans="4:25" ht="7.5" customHeight="1"/>
    <row r="1396" spans="4:25">
      <c r="D1396" t="s">
        <v>1171</v>
      </c>
    </row>
    <row r="1397" spans="4:25" ht="9.75" customHeight="1"/>
    <row r="1398" spans="4:25">
      <c r="D1398" s="5" t="s">
        <v>1172</v>
      </c>
    </row>
    <row r="1399" spans="4:25" ht="7.5" customHeight="1"/>
    <row r="1400" spans="4:25">
      <c r="D1400" s="5" t="s">
        <v>1173</v>
      </c>
    </row>
    <row r="1401" spans="4:25" ht="9.75" customHeight="1"/>
    <row r="1402" spans="4:25" ht="45">
      <c r="D1402" s="476" t="s">
        <v>1166</v>
      </c>
      <c r="E1402" s="845" t="s">
        <v>1165</v>
      </c>
      <c r="F1402" s="845"/>
      <c r="G1402" s="845"/>
      <c r="H1402" s="845"/>
      <c r="I1402" s="845"/>
      <c r="J1402" s="845"/>
      <c r="K1402" s="845"/>
      <c r="L1402" s="845"/>
      <c r="M1402" s="845" t="s">
        <v>1164</v>
      </c>
      <c r="N1402" s="845"/>
      <c r="O1402" s="845"/>
      <c r="P1402" s="845" t="s">
        <v>1176</v>
      </c>
      <c r="Q1402" s="845"/>
      <c r="R1402" s="845"/>
      <c r="S1402" s="845"/>
      <c r="T1402" s="845"/>
      <c r="U1402" s="845" t="s">
        <v>1175</v>
      </c>
      <c r="V1402" s="845"/>
      <c r="W1402" s="845"/>
      <c r="X1402" s="845"/>
      <c r="Y1402" s="845"/>
    </row>
    <row r="1403" spans="4:25">
      <c r="D1403" s="9">
        <v>1</v>
      </c>
      <c r="E1403" s="816" t="s">
        <v>1174</v>
      </c>
      <c r="F1403" s="816"/>
      <c r="G1403" s="816"/>
      <c r="H1403" s="816"/>
      <c r="I1403" s="816"/>
      <c r="J1403" s="816"/>
      <c r="K1403" s="816"/>
      <c r="L1403" s="816"/>
      <c r="M1403" s="795"/>
      <c r="N1403" s="795"/>
      <c r="O1403" s="795"/>
      <c r="P1403" s="818">
        <v>0</v>
      </c>
      <c r="Q1403" s="786"/>
      <c r="R1403" s="786"/>
      <c r="S1403" s="786"/>
      <c r="T1403" s="786"/>
      <c r="U1403" s="786"/>
      <c r="V1403" s="786"/>
      <c r="W1403" s="786"/>
      <c r="X1403" s="786"/>
      <c r="Y1403" s="786"/>
    </row>
    <row r="1404" spans="4:25">
      <c r="D1404" s="9">
        <v>2</v>
      </c>
      <c r="E1404" s="816" t="s">
        <v>1157</v>
      </c>
      <c r="F1404" s="816"/>
      <c r="G1404" s="816"/>
      <c r="H1404" s="816"/>
      <c r="I1404" s="816"/>
      <c r="J1404" s="816"/>
      <c r="K1404" s="816"/>
      <c r="L1404" s="816"/>
      <c r="M1404" s="795">
        <f>+'1.Project Cost and MOF (2)'!D5</f>
        <v>19004500</v>
      </c>
      <c r="N1404" s="795"/>
      <c r="O1404" s="795"/>
      <c r="P1404" s="818">
        <v>0.6</v>
      </c>
      <c r="Q1404" s="786"/>
      <c r="R1404" s="786"/>
      <c r="S1404" s="786"/>
      <c r="T1404" s="786"/>
      <c r="U1404" s="787">
        <f t="shared" ref="U1404:U1409" si="4">+M1404*P1404</f>
        <v>11402700</v>
      </c>
      <c r="V1404" s="787"/>
      <c r="W1404" s="787"/>
      <c r="X1404" s="787"/>
      <c r="Y1404" s="787"/>
    </row>
    <row r="1405" spans="4:25">
      <c r="D1405" s="9">
        <v>3</v>
      </c>
      <c r="E1405" s="816" t="s">
        <v>1158</v>
      </c>
      <c r="F1405" s="816"/>
      <c r="G1405" s="816"/>
      <c r="H1405" s="816"/>
      <c r="I1405" s="816"/>
      <c r="J1405" s="816"/>
      <c r="K1405" s="816"/>
      <c r="L1405" s="816"/>
      <c r="M1405" s="795">
        <f>+'1.Project Cost and MOF (2)'!D6</f>
        <v>18127932.961199999</v>
      </c>
      <c r="N1405" s="795"/>
      <c r="O1405" s="795"/>
      <c r="P1405" s="818">
        <v>0.6</v>
      </c>
      <c r="Q1405" s="786"/>
      <c r="R1405" s="786"/>
      <c r="S1405" s="786"/>
      <c r="T1405" s="786"/>
      <c r="U1405" s="787">
        <f t="shared" si="4"/>
        <v>10876759.776719999</v>
      </c>
      <c r="V1405" s="787"/>
      <c r="W1405" s="787"/>
      <c r="X1405" s="787"/>
      <c r="Y1405" s="787"/>
    </row>
    <row r="1406" spans="4:25">
      <c r="D1406" s="9">
        <v>4</v>
      </c>
      <c r="E1406" s="816" t="s">
        <v>1159</v>
      </c>
      <c r="F1406" s="816"/>
      <c r="G1406" s="816"/>
      <c r="H1406" s="816"/>
      <c r="I1406" s="816"/>
      <c r="J1406" s="816"/>
      <c r="K1406" s="816"/>
      <c r="L1406" s="816"/>
      <c r="M1406" s="795">
        <f>+'1.Project Cost and MOF (2)'!D7</f>
        <v>0</v>
      </c>
      <c r="N1406" s="795"/>
      <c r="O1406" s="795"/>
      <c r="P1406" s="818">
        <v>0.6</v>
      </c>
      <c r="Q1406" s="786"/>
      <c r="R1406" s="786"/>
      <c r="S1406" s="786"/>
      <c r="T1406" s="786"/>
      <c r="U1406" s="787">
        <f t="shared" si="4"/>
        <v>0</v>
      </c>
      <c r="V1406" s="787"/>
      <c r="W1406" s="787"/>
      <c r="X1406" s="787"/>
      <c r="Y1406" s="787"/>
    </row>
    <row r="1407" spans="4:25">
      <c r="D1407" s="9">
        <v>5</v>
      </c>
      <c r="E1407" s="816" t="s">
        <v>1160</v>
      </c>
      <c r="F1407" s="816"/>
      <c r="G1407" s="816"/>
      <c r="H1407" s="816"/>
      <c r="I1407" s="816"/>
      <c r="J1407" s="816"/>
      <c r="K1407" s="816"/>
      <c r="L1407" s="816"/>
      <c r="M1407" s="795">
        <f>+'1.Project Cost and MOF (2)'!D8</f>
        <v>0</v>
      </c>
      <c r="N1407" s="795"/>
      <c r="O1407" s="795"/>
      <c r="P1407" s="818">
        <v>0.6</v>
      </c>
      <c r="Q1407" s="786"/>
      <c r="R1407" s="786"/>
      <c r="S1407" s="786"/>
      <c r="T1407" s="786"/>
      <c r="U1407" s="787">
        <f t="shared" si="4"/>
        <v>0</v>
      </c>
      <c r="V1407" s="787"/>
      <c r="W1407" s="787"/>
      <c r="X1407" s="787"/>
      <c r="Y1407" s="787"/>
    </row>
    <row r="1408" spans="4:25">
      <c r="D1408" s="9">
        <v>6</v>
      </c>
      <c r="E1408" s="816" t="str">
        <f>+'1.Project Cost and MOF (2)'!C9</f>
        <v>Transport vehical  (Refer van and other)</v>
      </c>
      <c r="F1408" s="816"/>
      <c r="G1408" s="816"/>
      <c r="H1408" s="816"/>
      <c r="I1408" s="816"/>
      <c r="J1408" s="816"/>
      <c r="K1408" s="816"/>
      <c r="L1408" s="816"/>
      <c r="M1408" s="795">
        <f>+'1.Project Cost and MOF (2)'!D9</f>
        <v>0</v>
      </c>
      <c r="N1408" s="795"/>
      <c r="O1408" s="795"/>
      <c r="P1408" s="818">
        <v>0.6</v>
      </c>
      <c r="Q1408" s="786"/>
      <c r="R1408" s="786"/>
      <c r="S1408" s="786"/>
      <c r="T1408" s="786"/>
      <c r="U1408" s="787">
        <f t="shared" si="4"/>
        <v>0</v>
      </c>
      <c r="V1408" s="787"/>
      <c r="W1408" s="787"/>
      <c r="X1408" s="787"/>
      <c r="Y1408" s="787"/>
    </row>
    <row r="1409" spans="3:33">
      <c r="D1409" s="9">
        <v>7</v>
      </c>
      <c r="E1409" s="816" t="s">
        <v>1161</v>
      </c>
      <c r="F1409" s="816"/>
      <c r="G1409" s="816"/>
      <c r="H1409" s="816"/>
      <c r="I1409" s="816"/>
      <c r="J1409" s="816"/>
      <c r="K1409" s="816"/>
      <c r="L1409" s="816"/>
      <c r="M1409" s="795">
        <f>+'1.Project Cost and MOF (2)'!D10</f>
        <v>1883203</v>
      </c>
      <c r="N1409" s="795"/>
      <c r="O1409" s="795"/>
      <c r="P1409" s="818">
        <v>0.6</v>
      </c>
      <c r="Q1409" s="786"/>
      <c r="R1409" s="786"/>
      <c r="S1409" s="786"/>
      <c r="T1409" s="786"/>
      <c r="U1409" s="787">
        <f t="shared" si="4"/>
        <v>1129921.8</v>
      </c>
      <c r="V1409" s="787"/>
      <c r="W1409" s="787"/>
      <c r="X1409" s="787"/>
      <c r="Y1409" s="787"/>
    </row>
    <row r="1410" spans="3:33">
      <c r="D1410" s="9">
        <v>8</v>
      </c>
      <c r="E1410" s="788" t="str">
        <f>+'1.Project Cost and MOF (2)'!C11</f>
        <v>Working Capital</v>
      </c>
      <c r="F1410" s="788"/>
      <c r="G1410" s="788"/>
      <c r="H1410" s="788"/>
      <c r="I1410" s="788"/>
      <c r="J1410" s="788"/>
      <c r="K1410" s="788"/>
      <c r="L1410" s="788"/>
      <c r="M1410" s="787">
        <f>+'1.Project Cost and MOF (2)'!D11</f>
        <v>955691.00195066223</v>
      </c>
      <c r="N1410" s="787"/>
      <c r="O1410" s="787"/>
      <c r="P1410" s="818"/>
      <c r="Q1410" s="786"/>
      <c r="R1410" s="786"/>
      <c r="S1410" s="786"/>
      <c r="T1410" s="786"/>
      <c r="U1410" s="787"/>
      <c r="V1410" s="787"/>
      <c r="W1410" s="787"/>
      <c r="X1410" s="787"/>
      <c r="Y1410" s="787"/>
    </row>
    <row r="1411" spans="3:33" s="5" customFormat="1">
      <c r="D1411" s="2"/>
      <c r="E1411" s="852" t="s">
        <v>1170</v>
      </c>
      <c r="F1411" s="852"/>
      <c r="G1411" s="852"/>
      <c r="H1411" s="852"/>
      <c r="I1411" s="852"/>
      <c r="J1411" s="852"/>
      <c r="K1411" s="852"/>
      <c r="L1411" s="852"/>
      <c r="M1411" s="903">
        <f>SUM(M1404:O1410)</f>
        <v>39971326.963150658</v>
      </c>
      <c r="N1411" s="903"/>
      <c r="O1411" s="903"/>
      <c r="P1411" s="852"/>
      <c r="Q1411" s="852"/>
      <c r="R1411" s="852"/>
      <c r="S1411" s="852"/>
      <c r="T1411" s="852"/>
      <c r="U1411" s="903">
        <f>SUM(U1404:Y1410)</f>
        <v>23409381.576719999</v>
      </c>
      <c r="V1411" s="903"/>
      <c r="W1411" s="903"/>
      <c r="X1411" s="903"/>
      <c r="Y1411" s="903"/>
    </row>
    <row r="1413" spans="3:33" ht="45" customHeight="1">
      <c r="D1413" s="801" t="s">
        <v>1177</v>
      </c>
      <c r="E1413" s="801"/>
      <c r="F1413" s="801"/>
      <c r="G1413" s="801"/>
      <c r="H1413" s="801"/>
      <c r="I1413" s="801"/>
      <c r="J1413" s="801"/>
      <c r="K1413" s="801"/>
      <c r="L1413" s="801"/>
      <c r="M1413" s="801"/>
      <c r="N1413" s="801"/>
      <c r="O1413" s="801"/>
      <c r="P1413" s="801"/>
      <c r="Q1413" s="801"/>
      <c r="R1413" s="801"/>
      <c r="S1413" s="801"/>
      <c r="T1413" s="801"/>
      <c r="U1413" s="801"/>
      <c r="V1413" s="801"/>
      <c r="W1413" s="801"/>
      <c r="X1413" s="801"/>
      <c r="Y1413" s="801"/>
    </row>
    <row r="1415" spans="3:33" hidden="1"/>
    <row r="1416" spans="3:33" hidden="1">
      <c r="C1416" s="5" t="s">
        <v>1178</v>
      </c>
    </row>
    <row r="1417" spans="3:33" hidden="1"/>
    <row r="1418" spans="3:33" hidden="1">
      <c r="C1418" s="2" t="s">
        <v>1181</v>
      </c>
      <c r="D1418" s="852" t="s">
        <v>1180</v>
      </c>
      <c r="E1418" s="852"/>
      <c r="F1418" s="852"/>
      <c r="G1418" s="852"/>
      <c r="H1418" s="852"/>
      <c r="I1418" s="852"/>
      <c r="J1418" s="852"/>
      <c r="K1418" s="852"/>
      <c r="L1418" s="852"/>
      <c r="M1418" s="852" t="s">
        <v>1179</v>
      </c>
      <c r="N1418" s="852"/>
      <c r="O1418" s="852"/>
      <c r="P1418" s="852" t="s">
        <v>1182</v>
      </c>
      <c r="Q1418" s="852"/>
      <c r="R1418" s="852"/>
      <c r="S1418" s="852" t="s">
        <v>1183</v>
      </c>
      <c r="T1418" s="852"/>
      <c r="U1418" s="852"/>
      <c r="V1418" s="852" t="s">
        <v>1184</v>
      </c>
      <c r="W1418" s="852"/>
      <c r="X1418" s="852"/>
      <c r="Y1418" s="852" t="s">
        <v>1185</v>
      </c>
      <c r="Z1418" s="852"/>
      <c r="AA1418" s="852"/>
      <c r="AB1418" s="852" t="s">
        <v>1186</v>
      </c>
      <c r="AC1418" s="852"/>
      <c r="AD1418" s="852"/>
      <c r="AE1418" s="852" t="s">
        <v>1187</v>
      </c>
      <c r="AF1418" s="852"/>
      <c r="AG1418" s="852"/>
    </row>
    <row r="1419" spans="3:33" hidden="1">
      <c r="C1419" s="9" t="s">
        <v>910</v>
      </c>
      <c r="D1419" s="788" t="s">
        <v>1188</v>
      </c>
      <c r="E1419" s="788"/>
      <c r="F1419" s="788"/>
      <c r="G1419" s="788"/>
      <c r="H1419" s="788"/>
      <c r="I1419" s="788"/>
      <c r="J1419" s="786" t="s">
        <v>1190</v>
      </c>
      <c r="K1419" s="786"/>
      <c r="L1419" s="786"/>
      <c r="M1419" s="786"/>
      <c r="N1419" s="786"/>
      <c r="O1419" s="786"/>
      <c r="P1419" s="786"/>
      <c r="Q1419" s="786"/>
      <c r="R1419" s="786"/>
      <c r="S1419" s="786"/>
      <c r="T1419" s="786"/>
      <c r="U1419" s="786"/>
      <c r="V1419" s="786"/>
      <c r="W1419" s="786"/>
      <c r="X1419" s="786"/>
      <c r="Y1419" s="786"/>
      <c r="Z1419" s="786"/>
      <c r="AA1419" s="786"/>
      <c r="AB1419" s="786"/>
      <c r="AC1419" s="786"/>
      <c r="AD1419" s="786"/>
      <c r="AE1419" s="786"/>
      <c r="AF1419" s="786"/>
      <c r="AG1419" s="786"/>
    </row>
    <row r="1420" spans="3:33" hidden="1">
      <c r="C1420" s="9"/>
      <c r="D1420" s="807" t="s">
        <v>1189</v>
      </c>
      <c r="E1420" s="807"/>
      <c r="F1420" s="807"/>
      <c r="G1420" s="807"/>
      <c r="H1420" s="807"/>
      <c r="I1420" s="807"/>
      <c r="J1420" s="818">
        <v>0</v>
      </c>
      <c r="K1420" s="786"/>
      <c r="L1420" s="786"/>
      <c r="M1420" s="786"/>
      <c r="N1420" s="786"/>
      <c r="O1420" s="786"/>
      <c r="P1420" s="786"/>
      <c r="Q1420" s="786"/>
      <c r="R1420" s="786"/>
      <c r="S1420" s="786"/>
      <c r="T1420" s="786"/>
      <c r="U1420" s="786"/>
      <c r="V1420" s="786"/>
      <c r="W1420" s="786"/>
      <c r="X1420" s="786"/>
      <c r="Y1420" s="786"/>
      <c r="Z1420" s="786"/>
      <c r="AA1420" s="786"/>
      <c r="AB1420" s="786"/>
      <c r="AC1420" s="786"/>
      <c r="AD1420" s="786"/>
      <c r="AE1420" s="786"/>
      <c r="AF1420" s="786"/>
      <c r="AG1420" s="786"/>
    </row>
    <row r="1421" spans="3:33" hidden="1">
      <c r="C1421" s="9"/>
      <c r="D1421" s="807"/>
      <c r="E1421" s="807"/>
      <c r="F1421" s="807"/>
      <c r="G1421" s="807"/>
      <c r="H1421" s="807"/>
      <c r="I1421" s="807"/>
      <c r="J1421" s="786" t="s">
        <v>1191</v>
      </c>
      <c r="K1421" s="786"/>
      <c r="L1421" s="786"/>
      <c r="M1421" s="786"/>
      <c r="N1421" s="786"/>
      <c r="O1421" s="786"/>
      <c r="P1421" s="786"/>
      <c r="Q1421" s="786"/>
      <c r="R1421" s="786"/>
      <c r="S1421" s="786"/>
      <c r="T1421" s="786"/>
      <c r="U1421" s="786"/>
      <c r="V1421" s="786"/>
      <c r="W1421" s="786"/>
      <c r="X1421" s="786"/>
      <c r="Y1421" s="786"/>
      <c r="Z1421" s="786"/>
      <c r="AA1421" s="786"/>
      <c r="AB1421" s="786"/>
      <c r="AC1421" s="786"/>
      <c r="AD1421" s="786"/>
      <c r="AE1421" s="786"/>
      <c r="AF1421" s="786"/>
      <c r="AG1421" s="786"/>
    </row>
    <row r="1422" spans="3:33" hidden="1">
      <c r="C1422" s="9"/>
      <c r="D1422" s="807"/>
      <c r="E1422" s="807"/>
      <c r="F1422" s="807"/>
      <c r="G1422" s="807"/>
      <c r="H1422" s="807"/>
      <c r="I1422" s="807"/>
      <c r="J1422" s="786"/>
      <c r="K1422" s="786"/>
      <c r="L1422" s="786"/>
      <c r="M1422" s="786"/>
      <c r="N1422" s="786"/>
      <c r="O1422" s="786"/>
      <c r="P1422" s="786"/>
      <c r="Q1422" s="786"/>
      <c r="R1422" s="786"/>
      <c r="S1422" s="786"/>
      <c r="T1422" s="786"/>
      <c r="U1422" s="786"/>
      <c r="V1422" s="786"/>
      <c r="W1422" s="786"/>
      <c r="X1422" s="786"/>
      <c r="Y1422" s="786"/>
      <c r="Z1422" s="786"/>
      <c r="AA1422" s="786"/>
      <c r="AB1422" s="786"/>
      <c r="AC1422" s="786"/>
      <c r="AD1422" s="786"/>
      <c r="AE1422" s="786"/>
      <c r="AF1422" s="786"/>
      <c r="AG1422" s="786"/>
    </row>
    <row r="1423" spans="3:33" hidden="1">
      <c r="C1423" s="9" t="s">
        <v>911</v>
      </c>
      <c r="D1423" s="807" t="s">
        <v>1157</v>
      </c>
      <c r="E1423" s="807"/>
      <c r="F1423" s="807"/>
      <c r="G1423" s="807"/>
      <c r="H1423" s="807"/>
      <c r="I1423" s="807"/>
      <c r="J1423" s="786" t="s">
        <v>1190</v>
      </c>
      <c r="K1423" s="786"/>
      <c r="L1423" s="786"/>
      <c r="M1423" s="786"/>
      <c r="N1423" s="786"/>
      <c r="O1423" s="786"/>
      <c r="P1423" s="786"/>
      <c r="Q1423" s="786"/>
      <c r="R1423" s="786"/>
      <c r="S1423" s="786"/>
      <c r="T1423" s="786"/>
      <c r="U1423" s="786"/>
      <c r="V1423" s="786"/>
      <c r="W1423" s="786"/>
      <c r="X1423" s="786"/>
      <c r="Y1423" s="786"/>
      <c r="Z1423" s="786"/>
      <c r="AA1423" s="786"/>
      <c r="AB1423" s="786"/>
      <c r="AC1423" s="786"/>
      <c r="AD1423" s="786"/>
      <c r="AE1423" s="786"/>
      <c r="AF1423" s="786"/>
      <c r="AG1423" s="786"/>
    </row>
    <row r="1424" spans="3:33" hidden="1">
      <c r="C1424" s="9"/>
      <c r="D1424" s="807" t="s">
        <v>1189</v>
      </c>
      <c r="E1424" s="807"/>
      <c r="F1424" s="807"/>
      <c r="G1424" s="807"/>
      <c r="H1424" s="807"/>
      <c r="I1424" s="807"/>
      <c r="J1424" s="818">
        <v>3.1699999999999999E-2</v>
      </c>
      <c r="K1424" s="786"/>
      <c r="L1424" s="786"/>
      <c r="M1424" s="786"/>
      <c r="N1424" s="786"/>
      <c r="O1424" s="786"/>
      <c r="P1424" s="786"/>
      <c r="Q1424" s="786"/>
      <c r="R1424" s="786"/>
      <c r="S1424" s="786"/>
      <c r="T1424" s="786"/>
      <c r="U1424" s="786"/>
      <c r="V1424" s="786"/>
      <c r="W1424" s="786"/>
      <c r="X1424" s="786"/>
      <c r="Y1424" s="786"/>
      <c r="Z1424" s="786"/>
      <c r="AA1424" s="786"/>
      <c r="AB1424" s="786"/>
      <c r="AC1424" s="786"/>
      <c r="AD1424" s="786"/>
      <c r="AE1424" s="786"/>
      <c r="AF1424" s="786"/>
      <c r="AG1424" s="786"/>
    </row>
    <row r="1425" spans="3:33" hidden="1">
      <c r="C1425" s="9"/>
      <c r="D1425" s="807"/>
      <c r="E1425" s="807"/>
      <c r="F1425" s="807"/>
      <c r="G1425" s="807"/>
      <c r="H1425" s="807"/>
      <c r="I1425" s="807"/>
      <c r="J1425" s="786" t="s">
        <v>1191</v>
      </c>
      <c r="K1425" s="786"/>
      <c r="L1425" s="786"/>
      <c r="M1425" s="786"/>
      <c r="N1425" s="786"/>
      <c r="O1425" s="786"/>
      <c r="P1425" s="786"/>
      <c r="Q1425" s="786"/>
      <c r="R1425" s="786"/>
      <c r="S1425" s="786"/>
      <c r="T1425" s="786"/>
      <c r="U1425" s="786"/>
      <c r="V1425" s="786"/>
      <c r="W1425" s="786"/>
      <c r="X1425" s="786"/>
      <c r="Y1425" s="786"/>
      <c r="Z1425" s="786"/>
      <c r="AA1425" s="786"/>
      <c r="AB1425" s="786"/>
      <c r="AC1425" s="786"/>
      <c r="AD1425" s="786"/>
      <c r="AE1425" s="786"/>
      <c r="AF1425" s="786"/>
      <c r="AG1425" s="786"/>
    </row>
    <row r="1426" spans="3:33" hidden="1">
      <c r="C1426" s="9"/>
      <c r="D1426" s="807"/>
      <c r="E1426" s="807"/>
      <c r="F1426" s="807"/>
      <c r="G1426" s="807"/>
      <c r="H1426" s="807"/>
      <c r="I1426" s="807"/>
      <c r="J1426" s="786"/>
      <c r="K1426" s="786"/>
      <c r="L1426" s="786"/>
      <c r="M1426" s="786"/>
      <c r="N1426" s="786"/>
      <c r="O1426" s="786"/>
      <c r="P1426" s="786"/>
      <c r="Q1426" s="786"/>
      <c r="R1426" s="786"/>
      <c r="S1426" s="786"/>
      <c r="T1426" s="786"/>
      <c r="U1426" s="786"/>
      <c r="V1426" s="786"/>
      <c r="W1426" s="786"/>
      <c r="X1426" s="786"/>
      <c r="Y1426" s="786"/>
      <c r="Z1426" s="786"/>
      <c r="AA1426" s="786"/>
      <c r="AB1426" s="786"/>
      <c r="AC1426" s="786"/>
      <c r="AD1426" s="786"/>
      <c r="AE1426" s="786"/>
      <c r="AF1426" s="786"/>
      <c r="AG1426" s="786"/>
    </row>
    <row r="1427" spans="3:33" hidden="1">
      <c r="C1427" s="9" t="s">
        <v>933</v>
      </c>
      <c r="D1427" s="807" t="s">
        <v>1192</v>
      </c>
      <c r="E1427" s="807"/>
      <c r="F1427" s="807"/>
      <c r="G1427" s="807"/>
      <c r="H1427" s="807"/>
      <c r="I1427" s="807"/>
      <c r="J1427" s="786" t="s">
        <v>1190</v>
      </c>
      <c r="K1427" s="786"/>
      <c r="L1427" s="786"/>
      <c r="M1427" s="786"/>
      <c r="N1427" s="786"/>
      <c r="O1427" s="786"/>
      <c r="P1427" s="786"/>
      <c r="Q1427" s="786"/>
      <c r="R1427" s="786"/>
      <c r="S1427" s="786"/>
      <c r="T1427" s="786"/>
      <c r="U1427" s="786"/>
      <c r="V1427" s="786"/>
      <c r="W1427" s="786"/>
      <c r="X1427" s="786"/>
      <c r="Y1427" s="786"/>
      <c r="Z1427" s="786"/>
      <c r="AA1427" s="786"/>
      <c r="AB1427" s="786"/>
      <c r="AC1427" s="786"/>
      <c r="AD1427" s="786"/>
      <c r="AE1427" s="786"/>
      <c r="AF1427" s="786"/>
      <c r="AG1427" s="786"/>
    </row>
    <row r="1428" spans="3:33" hidden="1">
      <c r="C1428" s="9"/>
      <c r="D1428" s="807" t="s">
        <v>1189</v>
      </c>
      <c r="E1428" s="807"/>
      <c r="F1428" s="807"/>
      <c r="G1428" s="807"/>
      <c r="H1428" s="807"/>
      <c r="I1428" s="807"/>
      <c r="J1428" s="818">
        <v>6.3299999999999995E-2</v>
      </c>
      <c r="K1428" s="786"/>
      <c r="L1428" s="786"/>
      <c r="M1428" s="786"/>
      <c r="N1428" s="786"/>
      <c r="O1428" s="786"/>
      <c r="P1428" s="786"/>
      <c r="Q1428" s="786"/>
      <c r="R1428" s="786"/>
      <c r="S1428" s="786"/>
      <c r="T1428" s="786"/>
      <c r="U1428" s="786"/>
      <c r="V1428" s="786"/>
      <c r="W1428" s="786"/>
      <c r="X1428" s="786"/>
      <c r="Y1428" s="786"/>
      <c r="Z1428" s="786"/>
      <c r="AA1428" s="786"/>
      <c r="AB1428" s="786"/>
      <c r="AC1428" s="786"/>
      <c r="AD1428" s="786"/>
      <c r="AE1428" s="786"/>
      <c r="AF1428" s="786"/>
      <c r="AG1428" s="786"/>
    </row>
    <row r="1429" spans="3:33" hidden="1">
      <c r="C1429" s="9"/>
      <c r="D1429" s="807"/>
      <c r="E1429" s="807"/>
      <c r="F1429" s="807"/>
      <c r="G1429" s="807"/>
      <c r="H1429" s="807"/>
      <c r="I1429" s="807"/>
      <c r="J1429" s="786" t="s">
        <v>1191</v>
      </c>
      <c r="K1429" s="786"/>
      <c r="L1429" s="786"/>
      <c r="M1429" s="786"/>
      <c r="N1429" s="786"/>
      <c r="O1429" s="786"/>
      <c r="P1429" s="786"/>
      <c r="Q1429" s="786"/>
      <c r="R1429" s="786"/>
      <c r="S1429" s="786"/>
      <c r="T1429" s="786"/>
      <c r="U1429" s="786"/>
      <c r="V1429" s="786"/>
      <c r="W1429" s="786"/>
      <c r="X1429" s="786"/>
      <c r="Y1429" s="786"/>
      <c r="Z1429" s="786"/>
      <c r="AA1429" s="786"/>
      <c r="AB1429" s="786"/>
      <c r="AC1429" s="786"/>
      <c r="AD1429" s="786"/>
      <c r="AE1429" s="786"/>
      <c r="AF1429" s="786"/>
      <c r="AG1429" s="786"/>
    </row>
    <row r="1430" spans="3:33" hidden="1">
      <c r="C1430" s="9"/>
      <c r="D1430" s="807"/>
      <c r="E1430" s="807"/>
      <c r="F1430" s="807"/>
      <c r="G1430" s="807"/>
      <c r="H1430" s="807"/>
      <c r="I1430" s="807"/>
      <c r="J1430" s="786"/>
      <c r="K1430" s="786"/>
      <c r="L1430" s="786"/>
      <c r="M1430" s="786"/>
      <c r="N1430" s="786"/>
      <c r="O1430" s="786"/>
      <c r="P1430" s="786"/>
      <c r="Q1430" s="786"/>
      <c r="R1430" s="786"/>
      <c r="S1430" s="786"/>
      <c r="T1430" s="786"/>
      <c r="U1430" s="786"/>
      <c r="V1430" s="786"/>
      <c r="W1430" s="786"/>
      <c r="X1430" s="786"/>
      <c r="Y1430" s="786"/>
      <c r="Z1430" s="786"/>
      <c r="AA1430" s="786"/>
      <c r="AB1430" s="786"/>
      <c r="AC1430" s="786"/>
      <c r="AD1430" s="786"/>
      <c r="AE1430" s="786"/>
      <c r="AF1430" s="786"/>
      <c r="AG1430" s="786"/>
    </row>
    <row r="1431" spans="3:33" hidden="1">
      <c r="C1431" s="9" t="s">
        <v>934</v>
      </c>
      <c r="D1431" s="807" t="s">
        <v>1193</v>
      </c>
      <c r="E1431" s="807"/>
      <c r="F1431" s="807"/>
      <c r="G1431" s="807"/>
      <c r="H1431" s="807"/>
      <c r="I1431" s="807"/>
      <c r="J1431" s="786" t="s">
        <v>1190</v>
      </c>
      <c r="K1431" s="786"/>
      <c r="L1431" s="786"/>
      <c r="M1431" s="786"/>
      <c r="N1431" s="786"/>
      <c r="O1431" s="786"/>
      <c r="P1431" s="786"/>
      <c r="Q1431" s="786"/>
      <c r="R1431" s="786"/>
      <c r="S1431" s="786"/>
      <c r="T1431" s="786"/>
      <c r="U1431" s="786"/>
      <c r="V1431" s="786"/>
      <c r="W1431" s="786"/>
      <c r="X1431" s="786"/>
      <c r="Y1431" s="786"/>
      <c r="Z1431" s="786"/>
      <c r="AA1431" s="786"/>
      <c r="AB1431" s="786"/>
      <c r="AC1431" s="786"/>
      <c r="AD1431" s="786"/>
      <c r="AE1431" s="786"/>
      <c r="AF1431" s="786"/>
      <c r="AG1431" s="786"/>
    </row>
    <row r="1432" spans="3:33" hidden="1">
      <c r="C1432" s="9"/>
      <c r="D1432" s="807" t="s">
        <v>1189</v>
      </c>
      <c r="E1432" s="807"/>
      <c r="F1432" s="807"/>
      <c r="G1432" s="807"/>
      <c r="H1432" s="807"/>
      <c r="I1432" s="807"/>
      <c r="J1432" s="818">
        <v>0.1</v>
      </c>
      <c r="K1432" s="786"/>
      <c r="L1432" s="786"/>
      <c r="M1432" s="786"/>
      <c r="N1432" s="786"/>
      <c r="O1432" s="786"/>
      <c r="P1432" s="786"/>
      <c r="Q1432" s="786"/>
      <c r="R1432" s="786"/>
      <c r="S1432" s="786"/>
      <c r="T1432" s="786"/>
      <c r="U1432" s="786"/>
      <c r="V1432" s="786"/>
      <c r="W1432" s="786"/>
      <c r="X1432" s="786"/>
      <c r="Y1432" s="786"/>
      <c r="Z1432" s="786"/>
      <c r="AA1432" s="786"/>
      <c r="AB1432" s="786"/>
      <c r="AC1432" s="786"/>
      <c r="AD1432" s="786"/>
      <c r="AE1432" s="786"/>
      <c r="AF1432" s="786"/>
      <c r="AG1432" s="786"/>
    </row>
    <row r="1433" spans="3:33" hidden="1">
      <c r="C1433" s="9"/>
      <c r="D1433" s="807"/>
      <c r="E1433" s="807"/>
      <c r="F1433" s="807"/>
      <c r="G1433" s="807"/>
      <c r="H1433" s="807"/>
      <c r="I1433" s="807"/>
      <c r="J1433" s="786" t="s">
        <v>1191</v>
      </c>
      <c r="K1433" s="786"/>
      <c r="L1433" s="786"/>
      <c r="M1433" s="786"/>
      <c r="N1433" s="786"/>
      <c r="O1433" s="786"/>
      <c r="P1433" s="786"/>
      <c r="Q1433" s="786"/>
      <c r="R1433" s="786"/>
      <c r="S1433" s="786"/>
      <c r="T1433" s="786"/>
      <c r="U1433" s="786"/>
      <c r="V1433" s="786"/>
      <c r="W1433" s="786"/>
      <c r="X1433" s="786"/>
      <c r="Y1433" s="786"/>
      <c r="Z1433" s="786"/>
      <c r="AA1433" s="786"/>
      <c r="AB1433" s="786"/>
      <c r="AC1433" s="786"/>
      <c r="AD1433" s="786"/>
      <c r="AE1433" s="786"/>
      <c r="AF1433" s="786"/>
      <c r="AG1433" s="786"/>
    </row>
    <row r="1434" spans="3:33" hidden="1">
      <c r="C1434" s="9"/>
      <c r="D1434" s="807"/>
      <c r="E1434" s="807"/>
      <c r="F1434" s="807"/>
      <c r="G1434" s="807"/>
      <c r="H1434" s="807"/>
      <c r="I1434" s="807"/>
      <c r="J1434" s="786"/>
      <c r="K1434" s="786"/>
      <c r="L1434" s="786"/>
      <c r="M1434" s="786"/>
      <c r="N1434" s="786"/>
      <c r="O1434" s="786"/>
      <c r="P1434" s="786"/>
      <c r="Q1434" s="786"/>
      <c r="R1434" s="786"/>
      <c r="S1434" s="786"/>
      <c r="T1434" s="786"/>
      <c r="U1434" s="786"/>
      <c r="V1434" s="786"/>
      <c r="W1434" s="786"/>
      <c r="X1434" s="786"/>
      <c r="Y1434" s="786"/>
      <c r="Z1434" s="786"/>
      <c r="AA1434" s="786"/>
      <c r="AB1434" s="786"/>
      <c r="AC1434" s="786"/>
      <c r="AD1434" s="786"/>
      <c r="AE1434" s="786"/>
      <c r="AF1434" s="786"/>
      <c r="AG1434" s="786"/>
    </row>
    <row r="1435" spans="3:33" ht="35.25" hidden="1" customHeight="1">
      <c r="C1435" s="9" t="s">
        <v>935</v>
      </c>
      <c r="D1435" s="807" t="s">
        <v>1194</v>
      </c>
      <c r="E1435" s="807"/>
      <c r="F1435" s="807"/>
      <c r="G1435" s="807"/>
      <c r="H1435" s="807"/>
      <c r="I1435" s="807"/>
      <c r="J1435" s="786" t="s">
        <v>1190</v>
      </c>
      <c r="K1435" s="786"/>
      <c r="L1435" s="786"/>
      <c r="M1435" s="786"/>
      <c r="N1435" s="786"/>
      <c r="O1435" s="786"/>
      <c r="P1435" s="786"/>
      <c r="Q1435" s="786"/>
      <c r="R1435" s="786"/>
      <c r="S1435" s="786"/>
      <c r="T1435" s="786"/>
      <c r="U1435" s="786"/>
      <c r="V1435" s="786"/>
      <c r="W1435" s="786"/>
      <c r="X1435" s="786"/>
      <c r="Y1435" s="786"/>
      <c r="Z1435" s="786"/>
      <c r="AA1435" s="786"/>
      <c r="AB1435" s="786"/>
      <c r="AC1435" s="786"/>
      <c r="AD1435" s="786"/>
      <c r="AE1435" s="786"/>
      <c r="AF1435" s="786"/>
      <c r="AG1435" s="786"/>
    </row>
    <row r="1436" spans="3:33" hidden="1">
      <c r="C1436" s="9"/>
      <c r="D1436" s="807" t="s">
        <v>1189</v>
      </c>
      <c r="E1436" s="807"/>
      <c r="F1436" s="807"/>
      <c r="G1436" s="807"/>
      <c r="H1436" s="807"/>
      <c r="I1436" s="807"/>
      <c r="J1436" s="818">
        <v>0.1</v>
      </c>
      <c r="K1436" s="786"/>
      <c r="L1436" s="786"/>
      <c r="M1436" s="786"/>
      <c r="N1436" s="786"/>
      <c r="O1436" s="786"/>
      <c r="P1436" s="786"/>
      <c r="Q1436" s="786"/>
      <c r="R1436" s="786"/>
      <c r="S1436" s="786"/>
      <c r="T1436" s="786"/>
      <c r="U1436" s="786"/>
      <c r="V1436" s="786"/>
      <c r="W1436" s="786"/>
      <c r="X1436" s="786"/>
      <c r="Y1436" s="786"/>
      <c r="Z1436" s="786"/>
      <c r="AA1436" s="786"/>
      <c r="AB1436" s="786"/>
      <c r="AC1436" s="786"/>
      <c r="AD1436" s="786"/>
      <c r="AE1436" s="786"/>
      <c r="AF1436" s="786"/>
      <c r="AG1436" s="786"/>
    </row>
    <row r="1437" spans="3:33" hidden="1">
      <c r="C1437" s="9"/>
      <c r="D1437" s="807"/>
      <c r="E1437" s="807"/>
      <c r="F1437" s="807"/>
      <c r="G1437" s="807"/>
      <c r="H1437" s="807"/>
      <c r="I1437" s="807"/>
      <c r="J1437" s="786" t="s">
        <v>1191</v>
      </c>
      <c r="K1437" s="786"/>
      <c r="L1437" s="786"/>
      <c r="M1437" s="786"/>
      <c r="N1437" s="786"/>
      <c r="O1437" s="786"/>
      <c r="P1437" s="786"/>
      <c r="Q1437" s="786"/>
      <c r="R1437" s="786"/>
      <c r="S1437" s="786"/>
      <c r="T1437" s="786"/>
      <c r="U1437" s="786"/>
      <c r="V1437" s="786"/>
      <c r="W1437" s="786"/>
      <c r="X1437" s="786"/>
      <c r="Y1437" s="786"/>
      <c r="Z1437" s="786"/>
      <c r="AA1437" s="786"/>
      <c r="AB1437" s="786"/>
      <c r="AC1437" s="786"/>
      <c r="AD1437" s="786"/>
      <c r="AE1437" s="786"/>
      <c r="AF1437" s="786"/>
      <c r="AG1437" s="786"/>
    </row>
    <row r="1438" spans="3:33" hidden="1">
      <c r="C1438" s="9"/>
      <c r="D1438" s="788"/>
      <c r="E1438" s="788"/>
      <c r="F1438" s="788"/>
      <c r="G1438" s="788"/>
      <c r="H1438" s="788"/>
      <c r="I1438" s="788"/>
      <c r="J1438" s="786"/>
      <c r="K1438" s="786"/>
      <c r="L1438" s="786"/>
      <c r="M1438" s="786"/>
      <c r="N1438" s="786"/>
      <c r="O1438" s="786"/>
      <c r="P1438" s="786"/>
      <c r="Q1438" s="786"/>
      <c r="R1438" s="786"/>
      <c r="S1438" s="786"/>
      <c r="T1438" s="786"/>
      <c r="U1438" s="786"/>
      <c r="V1438" s="786"/>
      <c r="W1438" s="786"/>
      <c r="X1438" s="786"/>
      <c r="Y1438" s="786"/>
      <c r="Z1438" s="786"/>
      <c r="AA1438" s="786"/>
      <c r="AB1438" s="786"/>
      <c r="AC1438" s="786"/>
      <c r="AD1438" s="786"/>
      <c r="AE1438" s="786"/>
      <c r="AF1438" s="786"/>
      <c r="AG1438" s="786"/>
    </row>
    <row r="1439" spans="3:33" ht="32.25" hidden="1" customHeight="1">
      <c r="C1439" s="9"/>
      <c r="D1439" s="788"/>
      <c r="E1439" s="788"/>
      <c r="F1439" s="788"/>
      <c r="G1439" s="788"/>
      <c r="H1439" s="788"/>
      <c r="I1439" s="788"/>
      <c r="J1439" s="848" t="s">
        <v>1195</v>
      </c>
      <c r="K1439" s="848"/>
      <c r="L1439" s="848"/>
      <c r="M1439" s="786"/>
      <c r="N1439" s="786"/>
      <c r="O1439" s="786"/>
      <c r="P1439" s="786"/>
      <c r="Q1439" s="786"/>
      <c r="R1439" s="786"/>
      <c r="S1439" s="786"/>
      <c r="T1439" s="786"/>
      <c r="U1439" s="786"/>
      <c r="V1439" s="786"/>
      <c r="W1439" s="786"/>
      <c r="X1439" s="786"/>
      <c r="Y1439" s="786"/>
      <c r="Z1439" s="786"/>
      <c r="AA1439" s="786"/>
      <c r="AB1439" s="786"/>
      <c r="AC1439" s="786"/>
      <c r="AD1439" s="786"/>
      <c r="AE1439" s="786"/>
      <c r="AF1439" s="786"/>
      <c r="AG1439" s="786"/>
    </row>
    <row r="1440" spans="3:33" ht="32.25" hidden="1" customHeight="1">
      <c r="C1440" s="9"/>
      <c r="D1440" s="788"/>
      <c r="E1440" s="788"/>
      <c r="F1440" s="788"/>
      <c r="G1440" s="788"/>
      <c r="H1440" s="788"/>
      <c r="I1440" s="788"/>
      <c r="J1440" s="848" t="s">
        <v>1196</v>
      </c>
      <c r="K1440" s="848"/>
      <c r="L1440" s="848"/>
      <c r="M1440" s="786"/>
      <c r="N1440" s="786"/>
      <c r="O1440" s="786"/>
      <c r="P1440" s="786"/>
      <c r="Q1440" s="786"/>
      <c r="R1440" s="786"/>
      <c r="S1440" s="786"/>
      <c r="T1440" s="786"/>
      <c r="U1440" s="786"/>
      <c r="V1440" s="786"/>
      <c r="W1440" s="786"/>
      <c r="X1440" s="786"/>
      <c r="Y1440" s="786"/>
      <c r="Z1440" s="786"/>
      <c r="AA1440" s="786"/>
      <c r="AB1440" s="786"/>
      <c r="AC1440" s="786"/>
      <c r="AD1440" s="786"/>
      <c r="AE1440" s="786"/>
      <c r="AF1440" s="786"/>
      <c r="AG1440" s="786"/>
    </row>
    <row r="1441" spans="3:33" ht="32.25" hidden="1" customHeight="1">
      <c r="C1441" s="9"/>
      <c r="D1441" s="788"/>
      <c r="E1441" s="788"/>
      <c r="F1441" s="788"/>
      <c r="G1441" s="788"/>
      <c r="H1441" s="788"/>
      <c r="I1441" s="788"/>
      <c r="J1441" s="848" t="s">
        <v>1197</v>
      </c>
      <c r="K1441" s="848"/>
      <c r="L1441" s="848"/>
      <c r="M1441" s="786"/>
      <c r="N1441" s="786"/>
      <c r="O1441" s="786"/>
      <c r="P1441" s="786"/>
      <c r="Q1441" s="786"/>
      <c r="R1441" s="786"/>
      <c r="S1441" s="786"/>
      <c r="T1441" s="786"/>
      <c r="U1441" s="786"/>
      <c r="V1441" s="786"/>
      <c r="W1441" s="786"/>
      <c r="X1441" s="786"/>
      <c r="Y1441" s="786"/>
      <c r="Z1441" s="786"/>
      <c r="AA1441" s="786"/>
      <c r="AB1441" s="786"/>
      <c r="AC1441" s="786"/>
      <c r="AD1441" s="786"/>
      <c r="AE1441" s="786"/>
      <c r="AF1441" s="786"/>
      <c r="AG1441" s="786"/>
    </row>
    <row r="1442" spans="3:33" hidden="1"/>
    <row r="1443" spans="3:33" hidden="1">
      <c r="C1443" t="s">
        <v>1198</v>
      </c>
    </row>
    <row r="1444" spans="3:33" hidden="1"/>
    <row r="1445" spans="3:33" hidden="1">
      <c r="C1445" s="5" t="s">
        <v>1199</v>
      </c>
    </row>
    <row r="1446" spans="3:33" hidden="1"/>
    <row r="1447" spans="3:33" hidden="1">
      <c r="C1447" s="786" t="s">
        <v>1078</v>
      </c>
      <c r="D1447" s="786"/>
      <c r="E1447" s="786" t="s">
        <v>1203</v>
      </c>
      <c r="F1447" s="786"/>
      <c r="G1447" s="786"/>
      <c r="H1447" s="786"/>
      <c r="I1447" s="786"/>
      <c r="J1447" s="786"/>
      <c r="K1447" s="786" t="s">
        <v>1202</v>
      </c>
      <c r="L1447" s="786"/>
      <c r="M1447" s="786"/>
      <c r="N1447" s="786"/>
      <c r="O1447" s="786"/>
      <c r="P1447" s="786"/>
      <c r="Q1447" s="786" t="s">
        <v>1201</v>
      </c>
      <c r="R1447" s="786"/>
      <c r="S1447" s="786"/>
      <c r="T1447" s="786"/>
      <c r="U1447" s="786"/>
      <c r="V1447" s="786"/>
      <c r="W1447" s="786"/>
      <c r="X1447" s="786" t="s">
        <v>1200</v>
      </c>
      <c r="Y1447" s="786"/>
      <c r="Z1447" s="786"/>
      <c r="AA1447" s="786"/>
      <c r="AB1447" s="786"/>
      <c r="AC1447" s="786"/>
      <c r="AD1447" s="786"/>
      <c r="AE1447" s="786"/>
      <c r="AF1447" s="786"/>
      <c r="AG1447" s="786"/>
    </row>
    <row r="1448" spans="3:33" hidden="1">
      <c r="C1448" s="786" t="s">
        <v>1204</v>
      </c>
      <c r="D1448" s="786"/>
      <c r="E1448" s="786"/>
      <c r="F1448" s="786"/>
      <c r="G1448" s="786"/>
      <c r="H1448" s="786"/>
      <c r="I1448" s="786"/>
      <c r="J1448" s="786"/>
      <c r="K1448" s="818">
        <v>0.2</v>
      </c>
      <c r="L1448" s="786"/>
      <c r="M1448" s="786"/>
      <c r="N1448" s="786"/>
      <c r="O1448" s="786"/>
      <c r="P1448" s="786"/>
      <c r="Q1448" s="786"/>
      <c r="R1448" s="786"/>
      <c r="S1448" s="786"/>
      <c r="T1448" s="786"/>
      <c r="U1448" s="786"/>
      <c r="V1448" s="786"/>
      <c r="W1448" s="786"/>
      <c r="X1448" s="786"/>
      <c r="Y1448" s="786"/>
      <c r="Z1448" s="786"/>
      <c r="AA1448" s="786"/>
      <c r="AB1448" s="786"/>
      <c r="AC1448" s="786"/>
      <c r="AD1448" s="786"/>
      <c r="AE1448" s="786"/>
      <c r="AF1448" s="786"/>
      <c r="AG1448" s="786"/>
    </row>
    <row r="1449" spans="3:33" hidden="1">
      <c r="C1449" s="786" t="s">
        <v>1182</v>
      </c>
      <c r="D1449" s="786"/>
      <c r="E1449" s="786"/>
      <c r="F1449" s="786"/>
      <c r="G1449" s="786"/>
      <c r="H1449" s="786"/>
      <c r="I1449" s="786"/>
      <c r="J1449" s="786"/>
      <c r="K1449" s="818">
        <v>0.2</v>
      </c>
      <c r="L1449" s="786"/>
      <c r="M1449" s="786"/>
      <c r="N1449" s="786"/>
      <c r="O1449" s="786"/>
      <c r="P1449" s="786"/>
      <c r="Q1449" s="786"/>
      <c r="R1449" s="786"/>
      <c r="S1449" s="786"/>
      <c r="T1449" s="786"/>
      <c r="U1449" s="786"/>
      <c r="V1449" s="786"/>
      <c r="W1449" s="786"/>
      <c r="X1449" s="786"/>
      <c r="Y1449" s="786"/>
      <c r="Z1449" s="786"/>
      <c r="AA1449" s="786"/>
      <c r="AB1449" s="786"/>
      <c r="AC1449" s="786"/>
      <c r="AD1449" s="786"/>
      <c r="AE1449" s="786"/>
      <c r="AF1449" s="786"/>
      <c r="AG1449" s="786"/>
    </row>
    <row r="1450" spans="3:33" hidden="1">
      <c r="C1450" s="786" t="s">
        <v>1205</v>
      </c>
      <c r="D1450" s="786"/>
      <c r="E1450" s="786"/>
      <c r="F1450" s="786"/>
      <c r="G1450" s="786"/>
      <c r="H1450" s="786"/>
      <c r="I1450" s="786"/>
      <c r="J1450" s="786"/>
      <c r="K1450" s="818">
        <v>0.2</v>
      </c>
      <c r="L1450" s="786"/>
      <c r="M1450" s="786"/>
      <c r="N1450" s="786"/>
      <c r="O1450" s="786"/>
      <c r="P1450" s="786"/>
      <c r="Q1450" s="786"/>
      <c r="R1450" s="786"/>
      <c r="S1450" s="786"/>
      <c r="T1450" s="786"/>
      <c r="U1450" s="786"/>
      <c r="V1450" s="786"/>
      <c r="W1450" s="786"/>
      <c r="X1450" s="786"/>
      <c r="Y1450" s="786"/>
      <c r="Z1450" s="786"/>
      <c r="AA1450" s="786"/>
      <c r="AB1450" s="786"/>
      <c r="AC1450" s="786"/>
      <c r="AD1450" s="786"/>
      <c r="AE1450" s="786"/>
      <c r="AF1450" s="786"/>
      <c r="AG1450" s="786"/>
    </row>
    <row r="1451" spans="3:33" hidden="1">
      <c r="C1451" s="786" t="s">
        <v>1184</v>
      </c>
      <c r="D1451" s="786"/>
      <c r="E1451" s="786"/>
      <c r="F1451" s="786"/>
      <c r="G1451" s="786"/>
      <c r="H1451" s="786"/>
      <c r="I1451" s="786"/>
      <c r="J1451" s="786"/>
      <c r="K1451" s="818">
        <v>0.2</v>
      </c>
      <c r="L1451" s="786"/>
      <c r="M1451" s="786"/>
      <c r="N1451" s="786"/>
      <c r="O1451" s="786"/>
      <c r="P1451" s="786"/>
      <c r="Q1451" s="786"/>
      <c r="R1451" s="786"/>
      <c r="S1451" s="786"/>
      <c r="T1451" s="786"/>
      <c r="U1451" s="786"/>
      <c r="V1451" s="786"/>
      <c r="W1451" s="786"/>
      <c r="X1451" s="786"/>
      <c r="Y1451" s="786"/>
      <c r="Z1451" s="786"/>
      <c r="AA1451" s="786"/>
      <c r="AB1451" s="786"/>
      <c r="AC1451" s="786"/>
      <c r="AD1451" s="786"/>
      <c r="AE1451" s="786"/>
      <c r="AF1451" s="786"/>
      <c r="AG1451" s="786"/>
    </row>
    <row r="1452" spans="3:33" hidden="1">
      <c r="C1452" s="786" t="s">
        <v>1185</v>
      </c>
      <c r="D1452" s="786"/>
      <c r="E1452" s="786"/>
      <c r="F1452" s="786"/>
      <c r="G1452" s="786"/>
      <c r="H1452" s="786"/>
      <c r="I1452" s="786"/>
      <c r="J1452" s="786"/>
      <c r="K1452" s="818">
        <v>0.2</v>
      </c>
      <c r="L1452" s="786"/>
      <c r="M1452" s="786"/>
      <c r="N1452" s="786"/>
      <c r="O1452" s="786"/>
      <c r="P1452" s="786"/>
      <c r="Q1452" s="786"/>
      <c r="R1452" s="786"/>
      <c r="S1452" s="786"/>
      <c r="T1452" s="786"/>
      <c r="U1452" s="786"/>
      <c r="V1452" s="786"/>
      <c r="W1452" s="786"/>
      <c r="X1452" s="786"/>
      <c r="Y1452" s="786"/>
      <c r="Z1452" s="786"/>
      <c r="AA1452" s="786"/>
      <c r="AB1452" s="786"/>
      <c r="AC1452" s="786"/>
      <c r="AD1452" s="786"/>
      <c r="AE1452" s="786"/>
      <c r="AF1452" s="786"/>
      <c r="AG1452" s="786"/>
    </row>
    <row r="1453" spans="3:33" hidden="1">
      <c r="C1453" s="786" t="s">
        <v>1186</v>
      </c>
      <c r="D1453" s="786"/>
      <c r="E1453" s="786"/>
      <c r="F1453" s="786"/>
      <c r="G1453" s="786"/>
      <c r="H1453" s="786"/>
      <c r="I1453" s="786"/>
      <c r="J1453" s="786"/>
      <c r="K1453" s="818">
        <v>0.2</v>
      </c>
      <c r="L1453" s="786"/>
      <c r="M1453" s="786"/>
      <c r="N1453" s="786"/>
      <c r="O1453" s="786"/>
      <c r="P1453" s="786"/>
      <c r="Q1453" s="786"/>
      <c r="R1453" s="786"/>
      <c r="S1453" s="786"/>
      <c r="T1453" s="786"/>
      <c r="U1453" s="786"/>
      <c r="V1453" s="786"/>
      <c r="W1453" s="786"/>
      <c r="X1453" s="786"/>
      <c r="Y1453" s="786"/>
      <c r="Z1453" s="786"/>
      <c r="AA1453" s="786"/>
      <c r="AB1453" s="786"/>
      <c r="AC1453" s="786"/>
      <c r="AD1453" s="786"/>
      <c r="AE1453" s="786"/>
      <c r="AF1453" s="786"/>
      <c r="AG1453" s="786"/>
    </row>
    <row r="1454" spans="3:33" hidden="1">
      <c r="C1454" s="786"/>
      <c r="D1454" s="786"/>
      <c r="E1454" s="786"/>
      <c r="F1454" s="786"/>
      <c r="G1454" s="786"/>
      <c r="H1454" s="786"/>
      <c r="I1454" s="786"/>
      <c r="J1454" s="786"/>
      <c r="K1454" s="786"/>
      <c r="L1454" s="786"/>
      <c r="M1454" s="786"/>
      <c r="N1454" s="786"/>
      <c r="O1454" s="786"/>
      <c r="P1454" s="786"/>
      <c r="Q1454" s="786"/>
      <c r="R1454" s="786"/>
      <c r="S1454" s="786"/>
      <c r="T1454" s="786"/>
      <c r="U1454" s="786"/>
      <c r="V1454" s="786"/>
      <c r="W1454" s="786"/>
      <c r="X1454" s="786"/>
      <c r="Y1454" s="786"/>
      <c r="Z1454" s="786"/>
      <c r="AA1454" s="786"/>
      <c r="AB1454" s="786"/>
      <c r="AC1454" s="786"/>
      <c r="AD1454" s="786"/>
      <c r="AE1454" s="786"/>
      <c r="AF1454" s="786"/>
      <c r="AG1454" s="786"/>
    </row>
    <row r="1455" spans="3:33" hidden="1">
      <c r="C1455" s="786" t="s">
        <v>1</v>
      </c>
      <c r="D1455" s="786"/>
      <c r="E1455" s="786"/>
      <c r="F1455" s="786"/>
      <c r="G1455" s="786"/>
      <c r="H1455" s="786"/>
      <c r="I1455" s="786"/>
      <c r="J1455" s="786"/>
      <c r="K1455" s="786"/>
      <c r="L1455" s="786"/>
      <c r="M1455" s="786"/>
      <c r="N1455" s="786"/>
      <c r="O1455" s="786"/>
      <c r="P1455" s="786"/>
      <c r="Q1455" s="786"/>
      <c r="R1455" s="786"/>
      <c r="S1455" s="786"/>
      <c r="T1455" s="786"/>
      <c r="U1455" s="786"/>
      <c r="V1455" s="786"/>
      <c r="W1455" s="786"/>
      <c r="X1455" s="786"/>
      <c r="Y1455" s="786"/>
      <c r="Z1455" s="786"/>
      <c r="AA1455" s="786"/>
      <c r="AB1455" s="786"/>
      <c r="AC1455" s="786"/>
      <c r="AD1455" s="786"/>
      <c r="AE1455" s="786"/>
      <c r="AF1455" s="786"/>
      <c r="AG1455" s="786"/>
    </row>
    <row r="1456" spans="3:33" hidden="1"/>
    <row r="1457" spans="3:33" hidden="1">
      <c r="C1457" t="s">
        <v>1206</v>
      </c>
    </row>
    <row r="1458" spans="3:33" hidden="1"/>
    <row r="1459" spans="3:33" hidden="1">
      <c r="C1459" t="s">
        <v>1207</v>
      </c>
    </row>
    <row r="1460" spans="3:33" hidden="1">
      <c r="D1460" t="s">
        <v>1208</v>
      </c>
    </row>
    <row r="1461" spans="3:33" hidden="1">
      <c r="D1461" t="s">
        <v>1209</v>
      </c>
    </row>
    <row r="1462" spans="3:33" hidden="1">
      <c r="D1462" t="s">
        <v>1210</v>
      </c>
    </row>
    <row r="1463" spans="3:33" hidden="1">
      <c r="D1463" t="s">
        <v>1211</v>
      </c>
    </row>
    <row r="1464" spans="3:33" hidden="1"/>
    <row r="1465" spans="3:33" ht="21" hidden="1" customHeight="1">
      <c r="C1465" s="786" t="s">
        <v>1212</v>
      </c>
      <c r="D1465" s="786"/>
      <c r="E1465" s="786"/>
      <c r="F1465" s="786"/>
      <c r="G1465" s="786" t="s">
        <v>1213</v>
      </c>
      <c r="H1465" s="786"/>
      <c r="I1465" s="786"/>
      <c r="J1465" s="786"/>
      <c r="K1465" s="786"/>
      <c r="L1465" s="786"/>
      <c r="M1465" s="786"/>
      <c r="N1465" s="786"/>
      <c r="O1465" s="786"/>
      <c r="P1465" s="786"/>
      <c r="Q1465" s="848" t="s">
        <v>1214</v>
      </c>
      <c r="R1465" s="848"/>
      <c r="S1465" s="848"/>
      <c r="T1465" s="848"/>
      <c r="U1465" s="848"/>
      <c r="V1465" s="848"/>
      <c r="W1465" s="848"/>
      <c r="X1465" s="786" t="s">
        <v>1215</v>
      </c>
      <c r="Y1465" s="786"/>
      <c r="Z1465" s="786"/>
      <c r="AA1465" s="786"/>
      <c r="AB1465" s="786"/>
      <c r="AC1465" s="786"/>
      <c r="AD1465" s="786"/>
      <c r="AE1465" s="786"/>
      <c r="AF1465" s="786"/>
      <c r="AG1465" s="786"/>
    </row>
    <row r="1466" spans="3:33" hidden="1">
      <c r="C1466" s="789">
        <v>0</v>
      </c>
      <c r="D1466" s="786"/>
      <c r="E1466" s="786"/>
      <c r="F1466" s="786"/>
      <c r="G1466" s="786"/>
      <c r="H1466" s="786"/>
      <c r="I1466" s="786"/>
      <c r="J1466" s="786"/>
      <c r="K1466" s="786"/>
      <c r="L1466" s="786"/>
      <c r="M1466" s="786"/>
      <c r="N1466" s="786"/>
      <c r="O1466" s="786"/>
      <c r="P1466" s="786"/>
      <c r="Q1466" s="786"/>
      <c r="R1466" s="786"/>
      <c r="S1466" s="786"/>
      <c r="T1466" s="786"/>
      <c r="U1466" s="786"/>
      <c r="V1466" s="786"/>
      <c r="W1466" s="786"/>
      <c r="X1466" s="786"/>
      <c r="Y1466" s="786"/>
      <c r="Z1466" s="786"/>
      <c r="AA1466" s="786"/>
      <c r="AB1466" s="786"/>
      <c r="AC1466" s="786"/>
      <c r="AD1466" s="786"/>
      <c r="AE1466" s="786"/>
      <c r="AF1466" s="786"/>
      <c r="AG1466" s="786"/>
    </row>
    <row r="1467" spans="3:33" hidden="1">
      <c r="C1467" s="789">
        <v>1</v>
      </c>
      <c r="D1467" s="786"/>
      <c r="E1467" s="786"/>
      <c r="F1467" s="786"/>
      <c r="G1467" s="786"/>
      <c r="H1467" s="786"/>
      <c r="I1467" s="786"/>
      <c r="J1467" s="786"/>
      <c r="K1467" s="786"/>
      <c r="L1467" s="786"/>
      <c r="M1467" s="786"/>
      <c r="N1467" s="786"/>
      <c r="O1467" s="786"/>
      <c r="P1467" s="786"/>
      <c r="Q1467" s="786"/>
      <c r="R1467" s="786"/>
      <c r="S1467" s="786"/>
      <c r="T1467" s="786"/>
      <c r="U1467" s="786"/>
      <c r="V1467" s="786"/>
      <c r="W1467" s="786"/>
      <c r="X1467" s="786"/>
      <c r="Y1467" s="786"/>
      <c r="Z1467" s="786"/>
      <c r="AA1467" s="786"/>
      <c r="AB1467" s="786"/>
      <c r="AC1467" s="786"/>
      <c r="AD1467" s="786"/>
      <c r="AE1467" s="786"/>
      <c r="AF1467" s="786"/>
      <c r="AG1467" s="786"/>
    </row>
    <row r="1468" spans="3:33" hidden="1">
      <c r="C1468" s="789">
        <v>2</v>
      </c>
      <c r="D1468" s="786"/>
      <c r="E1468" s="786"/>
      <c r="F1468" s="786"/>
      <c r="G1468" s="786"/>
      <c r="H1468" s="786"/>
      <c r="I1468" s="786"/>
      <c r="J1468" s="786"/>
      <c r="K1468" s="786"/>
      <c r="L1468" s="786"/>
      <c r="M1468" s="786"/>
      <c r="N1468" s="786"/>
      <c r="O1468" s="786"/>
      <c r="P1468" s="786"/>
      <c r="Q1468" s="786"/>
      <c r="R1468" s="786"/>
      <c r="S1468" s="786"/>
      <c r="T1468" s="786"/>
      <c r="U1468" s="786"/>
      <c r="V1468" s="786"/>
      <c r="W1468" s="786"/>
      <c r="X1468" s="786"/>
      <c r="Y1468" s="786"/>
      <c r="Z1468" s="786"/>
      <c r="AA1468" s="786"/>
      <c r="AB1468" s="786"/>
      <c r="AC1468" s="786"/>
      <c r="AD1468" s="786"/>
      <c r="AE1468" s="786"/>
      <c r="AF1468" s="786"/>
      <c r="AG1468" s="786"/>
    </row>
    <row r="1469" spans="3:33" hidden="1">
      <c r="C1469" s="789">
        <v>3</v>
      </c>
      <c r="D1469" s="786"/>
      <c r="E1469" s="786"/>
      <c r="F1469" s="786"/>
      <c r="G1469" s="786"/>
      <c r="H1469" s="786"/>
      <c r="I1469" s="786"/>
      <c r="J1469" s="786"/>
      <c r="K1469" s="786"/>
      <c r="L1469" s="786"/>
      <c r="M1469" s="786"/>
      <c r="N1469" s="786"/>
      <c r="O1469" s="786"/>
      <c r="P1469" s="786"/>
      <c r="Q1469" s="786"/>
      <c r="R1469" s="786"/>
      <c r="S1469" s="786"/>
      <c r="T1469" s="786"/>
      <c r="U1469" s="786"/>
      <c r="V1469" s="786"/>
      <c r="W1469" s="786"/>
      <c r="X1469" s="786"/>
      <c r="Y1469" s="786"/>
      <c r="Z1469" s="786"/>
      <c r="AA1469" s="786"/>
      <c r="AB1469" s="786"/>
      <c r="AC1469" s="786"/>
      <c r="AD1469" s="786"/>
      <c r="AE1469" s="786"/>
      <c r="AF1469" s="786"/>
      <c r="AG1469" s="786"/>
    </row>
    <row r="1470" spans="3:33" hidden="1">
      <c r="C1470" s="789">
        <v>4</v>
      </c>
      <c r="D1470" s="786"/>
      <c r="E1470" s="786"/>
      <c r="F1470" s="786"/>
      <c r="G1470" s="786"/>
      <c r="H1470" s="786"/>
      <c r="I1470" s="786"/>
      <c r="J1470" s="786"/>
      <c r="K1470" s="786"/>
      <c r="L1470" s="786"/>
      <c r="M1470" s="786"/>
      <c r="N1470" s="786"/>
      <c r="O1470" s="786"/>
      <c r="P1470" s="786"/>
      <c r="Q1470" s="786"/>
      <c r="R1470" s="786"/>
      <c r="S1470" s="786"/>
      <c r="T1470" s="786"/>
      <c r="U1470" s="786"/>
      <c r="V1470" s="786"/>
      <c r="W1470" s="786"/>
      <c r="X1470" s="786"/>
      <c r="Y1470" s="786"/>
      <c r="Z1470" s="786"/>
      <c r="AA1470" s="786"/>
      <c r="AB1470" s="786"/>
      <c r="AC1470" s="786"/>
      <c r="AD1470" s="786"/>
      <c r="AE1470" s="786"/>
      <c r="AF1470" s="786"/>
      <c r="AG1470" s="786"/>
    </row>
    <row r="1471" spans="3:33" hidden="1">
      <c r="C1471" s="789">
        <v>5</v>
      </c>
      <c r="D1471" s="786"/>
      <c r="E1471" s="786"/>
      <c r="F1471" s="786"/>
      <c r="G1471" s="786"/>
      <c r="H1471" s="786"/>
      <c r="I1471" s="786"/>
      <c r="J1471" s="786"/>
      <c r="K1471" s="786"/>
      <c r="L1471" s="786"/>
      <c r="M1471" s="786"/>
      <c r="N1471" s="786"/>
      <c r="O1471" s="786"/>
      <c r="P1471" s="786"/>
      <c r="Q1471" s="786"/>
      <c r="R1471" s="786"/>
      <c r="S1471" s="786"/>
      <c r="T1471" s="786"/>
      <c r="U1471" s="786"/>
      <c r="V1471" s="786"/>
      <c r="W1471" s="786"/>
      <c r="X1471" s="786"/>
      <c r="Y1471" s="786"/>
      <c r="Z1471" s="786"/>
      <c r="AA1471" s="786"/>
      <c r="AB1471" s="786"/>
      <c r="AC1471" s="786"/>
      <c r="AD1471" s="786"/>
      <c r="AE1471" s="786"/>
      <c r="AF1471" s="786"/>
      <c r="AG1471" s="786"/>
    </row>
    <row r="1472" spans="3:33" hidden="1">
      <c r="C1472" s="789">
        <v>6</v>
      </c>
      <c r="D1472" s="786"/>
      <c r="E1472" s="786"/>
      <c r="F1472" s="786"/>
      <c r="G1472" s="786"/>
      <c r="H1472" s="786"/>
      <c r="I1472" s="786"/>
      <c r="J1472" s="786"/>
      <c r="K1472" s="786"/>
      <c r="L1472" s="786"/>
      <c r="M1472" s="786"/>
      <c r="N1472" s="786"/>
      <c r="O1472" s="786"/>
      <c r="P1472" s="786"/>
      <c r="Q1472" s="786"/>
      <c r="R1472" s="786"/>
      <c r="S1472" s="786"/>
      <c r="T1472" s="786"/>
      <c r="U1472" s="786"/>
      <c r="V1472" s="786"/>
      <c r="W1472" s="786"/>
      <c r="X1472" s="786"/>
      <c r="Y1472" s="786"/>
      <c r="Z1472" s="786"/>
      <c r="AA1472" s="786"/>
      <c r="AB1472" s="786"/>
      <c r="AC1472" s="786"/>
      <c r="AD1472" s="786"/>
      <c r="AE1472" s="786"/>
      <c r="AF1472" s="786"/>
      <c r="AG1472" s="786"/>
    </row>
    <row r="1473" spans="3:33" hidden="1">
      <c r="C1473" s="789">
        <v>7</v>
      </c>
      <c r="D1473" s="786"/>
      <c r="E1473" s="786"/>
      <c r="F1473" s="786"/>
      <c r="G1473" s="786"/>
      <c r="H1473" s="786"/>
      <c r="I1473" s="786"/>
      <c r="J1473" s="786"/>
      <c r="K1473" s="786"/>
      <c r="L1473" s="786"/>
      <c r="M1473" s="786"/>
      <c r="N1473" s="786"/>
      <c r="O1473" s="786"/>
      <c r="P1473" s="786"/>
      <c r="Q1473" s="786"/>
      <c r="R1473" s="786"/>
      <c r="S1473" s="786"/>
      <c r="T1473" s="786"/>
      <c r="U1473" s="786"/>
      <c r="V1473" s="786"/>
      <c r="W1473" s="786"/>
      <c r="X1473" s="786"/>
      <c r="Y1473" s="786"/>
      <c r="Z1473" s="786"/>
      <c r="AA1473" s="786"/>
      <c r="AB1473" s="786"/>
      <c r="AC1473" s="786"/>
      <c r="AD1473" s="786"/>
      <c r="AE1473" s="786"/>
      <c r="AF1473" s="786"/>
      <c r="AG1473" s="786"/>
    </row>
    <row r="1474" spans="3:33" hidden="1">
      <c r="C1474" s="789">
        <v>8</v>
      </c>
      <c r="D1474" s="786"/>
      <c r="E1474" s="786"/>
      <c r="F1474" s="786"/>
      <c r="G1474" s="786"/>
      <c r="H1474" s="786"/>
      <c r="I1474" s="786"/>
      <c r="J1474" s="786"/>
      <c r="K1474" s="786"/>
      <c r="L1474" s="786"/>
      <c r="M1474" s="786"/>
      <c r="N1474" s="786"/>
      <c r="O1474" s="786"/>
      <c r="P1474" s="786"/>
      <c r="Q1474" s="786"/>
      <c r="R1474" s="786"/>
      <c r="S1474" s="786"/>
      <c r="T1474" s="786"/>
      <c r="U1474" s="786"/>
      <c r="V1474" s="786"/>
      <c r="W1474" s="786"/>
      <c r="X1474" s="786"/>
      <c r="Y1474" s="786"/>
      <c r="Z1474" s="786"/>
      <c r="AA1474" s="786"/>
      <c r="AB1474" s="786"/>
      <c r="AC1474" s="786"/>
      <c r="AD1474" s="786"/>
      <c r="AE1474" s="786"/>
      <c r="AF1474" s="786"/>
      <c r="AG1474" s="786"/>
    </row>
    <row r="1475" spans="3:33" hidden="1">
      <c r="C1475" s="789">
        <v>9</v>
      </c>
      <c r="D1475" s="786"/>
      <c r="E1475" s="786"/>
      <c r="F1475" s="786"/>
      <c r="G1475" s="786"/>
      <c r="H1475" s="786"/>
      <c r="I1475" s="786"/>
      <c r="J1475" s="786"/>
      <c r="K1475" s="786"/>
      <c r="L1475" s="786"/>
      <c r="M1475" s="786"/>
      <c r="N1475" s="786"/>
      <c r="O1475" s="786"/>
      <c r="P1475" s="786"/>
      <c r="Q1475" s="786"/>
      <c r="R1475" s="786"/>
      <c r="S1475" s="786"/>
      <c r="T1475" s="786"/>
      <c r="U1475" s="786"/>
      <c r="V1475" s="786"/>
      <c r="W1475" s="786"/>
      <c r="X1475" s="786"/>
      <c r="Y1475" s="786"/>
      <c r="Z1475" s="786"/>
      <c r="AA1475" s="786"/>
      <c r="AB1475" s="786"/>
      <c r="AC1475" s="786"/>
      <c r="AD1475" s="786"/>
      <c r="AE1475" s="786"/>
      <c r="AF1475" s="786"/>
      <c r="AG1475" s="786"/>
    </row>
    <row r="1476" spans="3:33" hidden="1">
      <c r="C1476" s="789">
        <v>10</v>
      </c>
      <c r="D1476" s="786"/>
      <c r="E1476" s="786"/>
      <c r="F1476" s="786"/>
      <c r="G1476" s="786"/>
      <c r="H1476" s="786"/>
      <c r="I1476" s="786"/>
      <c r="J1476" s="786"/>
      <c r="K1476" s="786"/>
      <c r="L1476" s="786"/>
      <c r="M1476" s="786"/>
      <c r="N1476" s="786"/>
      <c r="O1476" s="786"/>
      <c r="P1476" s="786"/>
      <c r="Q1476" s="786"/>
      <c r="R1476" s="786"/>
      <c r="S1476" s="786"/>
      <c r="T1476" s="786"/>
      <c r="U1476" s="786"/>
      <c r="V1476" s="786"/>
      <c r="W1476" s="786"/>
      <c r="X1476" s="786"/>
      <c r="Y1476" s="786"/>
      <c r="Z1476" s="786"/>
      <c r="AA1476" s="786"/>
      <c r="AB1476" s="786"/>
      <c r="AC1476" s="786"/>
      <c r="AD1476" s="786"/>
      <c r="AE1476" s="786"/>
      <c r="AF1476" s="786"/>
      <c r="AG1476" s="786"/>
    </row>
    <row r="1477" spans="3:33" hidden="1"/>
    <row r="1478" spans="3:33" hidden="1">
      <c r="C1478" s="5" t="s">
        <v>1216</v>
      </c>
    </row>
    <row r="1479" spans="3:33" hidden="1"/>
    <row r="1480" spans="3:33" hidden="1"/>
    <row r="1481" spans="3:33" hidden="1"/>
    <row r="1482" spans="3:33" ht="33" hidden="1" customHeight="1">
      <c r="C1482" s="836" t="s">
        <v>1181</v>
      </c>
      <c r="D1482" s="836"/>
      <c r="E1482" s="836" t="s">
        <v>1217</v>
      </c>
      <c r="F1482" s="836"/>
      <c r="G1482" s="836"/>
      <c r="H1482" s="836"/>
      <c r="I1482" s="836"/>
      <c r="J1482" s="836"/>
      <c r="K1482" s="836"/>
      <c r="L1482" s="836"/>
      <c r="M1482" s="836" t="s">
        <v>1218</v>
      </c>
      <c r="N1482" s="836"/>
      <c r="O1482" s="836"/>
      <c r="P1482" s="836" t="s">
        <v>1219</v>
      </c>
      <c r="Q1482" s="836"/>
      <c r="R1482" s="836"/>
      <c r="S1482" s="836"/>
      <c r="T1482" s="836"/>
      <c r="U1482" s="836"/>
      <c r="V1482" s="836" t="s">
        <v>1220</v>
      </c>
      <c r="W1482" s="836"/>
      <c r="X1482" s="836"/>
      <c r="Y1482" s="836"/>
      <c r="Z1482" s="836"/>
      <c r="AA1482" s="836"/>
      <c r="AB1482" s="836" t="s">
        <v>1221</v>
      </c>
      <c r="AC1482" s="836"/>
      <c r="AD1482" s="836"/>
      <c r="AE1482" s="836"/>
      <c r="AF1482" s="836"/>
      <c r="AG1482" s="836"/>
    </row>
    <row r="1483" spans="3:33" hidden="1">
      <c r="C1483" s="786"/>
      <c r="D1483" s="786"/>
      <c r="E1483" s="786"/>
      <c r="F1483" s="786"/>
      <c r="G1483" s="786"/>
      <c r="H1483" s="786"/>
      <c r="I1483" s="786"/>
      <c r="J1483" s="786"/>
      <c r="K1483" s="786"/>
      <c r="L1483" s="786"/>
      <c r="M1483" s="786"/>
      <c r="N1483" s="786"/>
      <c r="O1483" s="786"/>
      <c r="P1483" s="786"/>
      <c r="Q1483" s="786"/>
      <c r="R1483" s="786"/>
      <c r="S1483" s="786"/>
      <c r="T1483" s="786"/>
      <c r="U1483" s="786"/>
      <c r="V1483" s="786"/>
      <c r="W1483" s="786"/>
      <c r="X1483" s="786"/>
      <c r="Y1483" s="786"/>
      <c r="Z1483" s="786"/>
      <c r="AA1483" s="786"/>
      <c r="AB1483" s="786"/>
      <c r="AC1483" s="786"/>
      <c r="AD1483" s="786"/>
      <c r="AE1483" s="786"/>
      <c r="AF1483" s="786"/>
      <c r="AG1483" s="786"/>
    </row>
    <row r="1484" spans="3:33" hidden="1">
      <c r="C1484" s="786"/>
      <c r="D1484" s="786"/>
      <c r="E1484" s="786"/>
      <c r="F1484" s="786"/>
      <c r="G1484" s="786"/>
      <c r="H1484" s="786"/>
      <c r="I1484" s="786"/>
      <c r="J1484" s="786"/>
      <c r="K1484" s="786"/>
      <c r="L1484" s="786"/>
      <c r="M1484" s="786"/>
      <c r="N1484" s="786"/>
      <c r="O1484" s="786"/>
      <c r="P1484" s="786"/>
      <c r="Q1484" s="786"/>
      <c r="R1484" s="786"/>
      <c r="S1484" s="786"/>
      <c r="T1484" s="786"/>
      <c r="U1484" s="786"/>
      <c r="V1484" s="786"/>
      <c r="W1484" s="786"/>
      <c r="X1484" s="786"/>
      <c r="Y1484" s="786"/>
      <c r="Z1484" s="786"/>
      <c r="AA1484" s="786"/>
      <c r="AB1484" s="786"/>
      <c r="AC1484" s="786"/>
      <c r="AD1484" s="786"/>
      <c r="AE1484" s="786"/>
      <c r="AF1484" s="786"/>
      <c r="AG1484" s="786"/>
    </row>
    <row r="1485" spans="3:33" hidden="1">
      <c r="C1485" s="786"/>
      <c r="D1485" s="786"/>
      <c r="E1485" s="786"/>
      <c r="F1485" s="786"/>
      <c r="G1485" s="786"/>
      <c r="H1485" s="786"/>
      <c r="I1485" s="786"/>
      <c r="J1485" s="786"/>
      <c r="K1485" s="786"/>
      <c r="L1485" s="786"/>
      <c r="M1485" s="786"/>
      <c r="N1485" s="786"/>
      <c r="O1485" s="786"/>
      <c r="P1485" s="786"/>
      <c r="Q1485" s="786"/>
      <c r="R1485" s="786"/>
      <c r="S1485" s="786"/>
      <c r="T1485" s="786"/>
      <c r="U1485" s="786"/>
      <c r="V1485" s="786"/>
      <c r="W1485" s="786"/>
      <c r="X1485" s="786"/>
      <c r="Y1485" s="786"/>
      <c r="Z1485" s="786"/>
      <c r="AA1485" s="786"/>
      <c r="AB1485" s="786"/>
      <c r="AC1485" s="786"/>
      <c r="AD1485" s="786"/>
      <c r="AE1485" s="786"/>
      <c r="AF1485" s="786"/>
      <c r="AG1485" s="786"/>
    </row>
    <row r="1486" spans="3:33" hidden="1">
      <c r="C1486" s="786"/>
      <c r="D1486" s="786"/>
      <c r="E1486" s="786"/>
      <c r="F1486" s="786"/>
      <c r="G1486" s="786"/>
      <c r="H1486" s="786"/>
      <c r="I1486" s="786"/>
      <c r="J1486" s="786"/>
      <c r="K1486" s="786"/>
      <c r="L1486" s="786"/>
      <c r="M1486" s="786"/>
      <c r="N1486" s="786"/>
      <c r="O1486" s="786"/>
      <c r="P1486" s="786"/>
      <c r="Q1486" s="786"/>
      <c r="R1486" s="786"/>
      <c r="S1486" s="786"/>
      <c r="T1486" s="786"/>
      <c r="U1486" s="786"/>
      <c r="V1486" s="786"/>
      <c r="W1486" s="786"/>
      <c r="X1486" s="786"/>
      <c r="Y1486" s="786"/>
      <c r="Z1486" s="786"/>
      <c r="AA1486" s="786"/>
      <c r="AB1486" s="786"/>
      <c r="AC1486" s="786"/>
      <c r="AD1486" s="786"/>
      <c r="AE1486" s="786"/>
      <c r="AF1486" s="786"/>
      <c r="AG1486" s="786"/>
    </row>
    <row r="1487" spans="3:33" hidden="1">
      <c r="C1487" s="786"/>
      <c r="D1487" s="786"/>
      <c r="E1487" s="786"/>
      <c r="F1487" s="786"/>
      <c r="G1487" s="786"/>
      <c r="H1487" s="786"/>
      <c r="I1487" s="786"/>
      <c r="J1487" s="786"/>
      <c r="K1487" s="786"/>
      <c r="L1487" s="786"/>
      <c r="M1487" s="786"/>
      <c r="N1487" s="786"/>
      <c r="O1487" s="786"/>
      <c r="P1487" s="786"/>
      <c r="Q1487" s="786"/>
      <c r="R1487" s="786"/>
      <c r="S1487" s="786"/>
      <c r="T1487" s="786"/>
      <c r="U1487" s="786"/>
      <c r="V1487" s="786"/>
      <c r="W1487" s="786"/>
      <c r="X1487" s="786"/>
      <c r="Y1487" s="786"/>
      <c r="Z1487" s="786"/>
      <c r="AA1487" s="786"/>
      <c r="AB1487" s="786"/>
      <c r="AC1487" s="786"/>
      <c r="AD1487" s="786"/>
      <c r="AE1487" s="786"/>
      <c r="AF1487" s="786"/>
      <c r="AG1487" s="786"/>
    </row>
    <row r="1488" spans="3:33" hidden="1">
      <c r="C1488" s="786"/>
      <c r="D1488" s="786"/>
      <c r="E1488" s="786"/>
      <c r="F1488" s="786"/>
      <c r="G1488" s="786"/>
      <c r="H1488" s="786"/>
      <c r="I1488" s="786"/>
      <c r="J1488" s="786"/>
      <c r="K1488" s="786"/>
      <c r="L1488" s="786"/>
      <c r="M1488" s="786"/>
      <c r="N1488" s="786"/>
      <c r="O1488" s="786"/>
      <c r="P1488" s="786"/>
      <c r="Q1488" s="786"/>
      <c r="R1488" s="786"/>
      <c r="S1488" s="786"/>
      <c r="T1488" s="786"/>
      <c r="U1488" s="786"/>
      <c r="V1488" s="786"/>
      <c r="W1488" s="786"/>
      <c r="X1488" s="786"/>
      <c r="Y1488" s="786"/>
      <c r="Z1488" s="786"/>
      <c r="AA1488" s="786"/>
      <c r="AB1488" s="786"/>
      <c r="AC1488" s="786"/>
      <c r="AD1488" s="786"/>
      <c r="AE1488" s="786"/>
      <c r="AF1488" s="786"/>
      <c r="AG1488" s="786"/>
    </row>
    <row r="1489" spans="3:33" hidden="1">
      <c r="C1489" s="786"/>
      <c r="D1489" s="786"/>
      <c r="E1489" s="786"/>
      <c r="F1489" s="786"/>
      <c r="G1489" s="786"/>
      <c r="H1489" s="786"/>
      <c r="I1489" s="786"/>
      <c r="J1489" s="786"/>
      <c r="K1489" s="786"/>
      <c r="L1489" s="786"/>
      <c r="M1489" s="786"/>
      <c r="N1489" s="786"/>
      <c r="O1489" s="786"/>
      <c r="P1489" s="786"/>
      <c r="Q1489" s="786"/>
      <c r="R1489" s="786"/>
      <c r="S1489" s="786"/>
      <c r="T1489" s="786"/>
      <c r="U1489" s="786"/>
      <c r="V1489" s="786"/>
      <c r="W1489" s="786"/>
      <c r="X1489" s="786"/>
      <c r="Y1489" s="786"/>
      <c r="Z1489" s="786"/>
      <c r="AA1489" s="786"/>
      <c r="AB1489" s="786"/>
      <c r="AC1489" s="786"/>
      <c r="AD1489" s="786"/>
      <c r="AE1489" s="786"/>
      <c r="AF1489" s="786"/>
      <c r="AG1489" s="786"/>
    </row>
    <row r="1490" spans="3:33" hidden="1">
      <c r="C1490" s="786"/>
      <c r="D1490" s="786"/>
      <c r="E1490" s="786"/>
      <c r="F1490" s="786"/>
      <c r="G1490" s="786"/>
      <c r="H1490" s="786"/>
      <c r="I1490" s="786"/>
      <c r="J1490" s="786"/>
      <c r="K1490" s="786"/>
      <c r="L1490" s="786"/>
      <c r="M1490" s="786"/>
      <c r="N1490" s="786"/>
      <c r="O1490" s="786"/>
      <c r="P1490" s="786"/>
      <c r="Q1490" s="786"/>
      <c r="R1490" s="786"/>
      <c r="S1490" s="786"/>
      <c r="T1490" s="786"/>
      <c r="U1490" s="786"/>
      <c r="V1490" s="786"/>
      <c r="W1490" s="786"/>
      <c r="X1490" s="786"/>
      <c r="Y1490" s="786"/>
      <c r="Z1490" s="786"/>
      <c r="AA1490" s="786"/>
      <c r="AB1490" s="786"/>
      <c r="AC1490" s="786"/>
      <c r="AD1490" s="786"/>
      <c r="AE1490" s="786"/>
      <c r="AF1490" s="786"/>
      <c r="AG1490" s="786"/>
    </row>
    <row r="1491" spans="3:33" hidden="1">
      <c r="C1491" s="786"/>
      <c r="D1491" s="786"/>
      <c r="E1491" s="786"/>
      <c r="F1491" s="786"/>
      <c r="G1491" s="786"/>
      <c r="H1491" s="786"/>
      <c r="I1491" s="786"/>
      <c r="J1491" s="786"/>
      <c r="K1491" s="786"/>
      <c r="L1491" s="786"/>
      <c r="M1491" s="786"/>
      <c r="N1491" s="786"/>
      <c r="O1491" s="786"/>
      <c r="P1491" s="786"/>
      <c r="Q1491" s="786"/>
      <c r="R1491" s="786"/>
      <c r="S1491" s="786"/>
      <c r="T1491" s="786"/>
      <c r="U1491" s="786"/>
      <c r="V1491" s="786"/>
      <c r="W1491" s="786"/>
      <c r="X1491" s="786"/>
      <c r="Y1491" s="786"/>
      <c r="Z1491" s="786"/>
      <c r="AA1491" s="786"/>
      <c r="AB1491" s="786"/>
      <c r="AC1491" s="786"/>
      <c r="AD1491" s="786"/>
      <c r="AE1491" s="786"/>
      <c r="AF1491" s="786"/>
      <c r="AG1491" s="786"/>
    </row>
    <row r="1492" spans="3:33" hidden="1">
      <c r="C1492" s="786"/>
      <c r="D1492" s="786"/>
      <c r="E1492" s="786"/>
      <c r="F1492" s="786"/>
      <c r="G1492" s="786"/>
      <c r="H1492" s="786"/>
      <c r="I1492" s="786"/>
      <c r="J1492" s="786"/>
      <c r="K1492" s="786"/>
      <c r="L1492" s="786"/>
      <c r="M1492" s="786"/>
      <c r="N1492" s="786"/>
      <c r="O1492" s="786"/>
      <c r="P1492" s="786"/>
      <c r="Q1492" s="786"/>
      <c r="R1492" s="786"/>
      <c r="S1492" s="786"/>
      <c r="T1492" s="786"/>
      <c r="U1492" s="786"/>
      <c r="V1492" s="786"/>
      <c r="W1492" s="786"/>
      <c r="X1492" s="786"/>
      <c r="Y1492" s="786"/>
      <c r="Z1492" s="786"/>
      <c r="AA1492" s="786"/>
      <c r="AB1492" s="786"/>
      <c r="AC1492" s="786"/>
      <c r="AD1492" s="786"/>
      <c r="AE1492" s="786"/>
      <c r="AF1492" s="786"/>
      <c r="AG1492" s="786"/>
    </row>
    <row r="1493" spans="3:33" hidden="1">
      <c r="C1493" s="786"/>
      <c r="D1493" s="786"/>
      <c r="E1493" s="786"/>
      <c r="F1493" s="786"/>
      <c r="G1493" s="786"/>
      <c r="H1493" s="786"/>
      <c r="I1493" s="786"/>
      <c r="J1493" s="786"/>
      <c r="K1493" s="786"/>
      <c r="L1493" s="786"/>
      <c r="M1493" s="786"/>
      <c r="N1493" s="786"/>
      <c r="O1493" s="786"/>
      <c r="P1493" s="786"/>
      <c r="Q1493" s="786"/>
      <c r="R1493" s="786"/>
      <c r="S1493" s="786"/>
      <c r="T1493" s="786"/>
      <c r="U1493" s="786"/>
      <c r="V1493" s="786"/>
      <c r="W1493" s="786"/>
      <c r="X1493" s="786"/>
      <c r="Y1493" s="786"/>
      <c r="Z1493" s="786"/>
      <c r="AA1493" s="786"/>
      <c r="AB1493" s="786"/>
      <c r="AC1493" s="786"/>
      <c r="AD1493" s="786"/>
      <c r="AE1493" s="786"/>
      <c r="AF1493" s="786"/>
      <c r="AG1493" s="786"/>
    </row>
    <row r="1494" spans="3:33" hidden="1">
      <c r="C1494" s="786"/>
      <c r="D1494" s="786"/>
      <c r="E1494" s="786" t="s">
        <v>1170</v>
      </c>
      <c r="F1494" s="786"/>
      <c r="G1494" s="786"/>
      <c r="H1494" s="786"/>
      <c r="I1494" s="786"/>
      <c r="J1494" s="786"/>
      <c r="K1494" s="786"/>
      <c r="L1494" s="786"/>
      <c r="M1494" s="786"/>
      <c r="N1494" s="786"/>
      <c r="O1494" s="786"/>
      <c r="P1494" s="786"/>
      <c r="Q1494" s="786"/>
      <c r="R1494" s="786"/>
      <c r="S1494" s="786"/>
      <c r="T1494" s="786"/>
      <c r="U1494" s="786"/>
      <c r="V1494" s="786"/>
      <c r="W1494" s="786"/>
      <c r="X1494" s="786"/>
      <c r="Y1494" s="786"/>
      <c r="Z1494" s="786"/>
      <c r="AA1494" s="786"/>
      <c r="AB1494" s="786"/>
      <c r="AC1494" s="786"/>
      <c r="AD1494" s="786"/>
      <c r="AE1494" s="786"/>
      <c r="AF1494" s="786"/>
      <c r="AG1494" s="786"/>
    </row>
    <row r="1495" spans="3:33" hidden="1"/>
    <row r="1496" spans="3:33" hidden="1"/>
    <row r="1497" spans="3:33" hidden="1"/>
    <row r="1498" spans="3:33" ht="36.75" hidden="1" customHeight="1">
      <c r="C1498" s="786" t="s">
        <v>1226</v>
      </c>
      <c r="D1498" s="786"/>
      <c r="E1498" s="892" t="s">
        <v>1225</v>
      </c>
      <c r="F1498" s="893"/>
      <c r="G1498" s="893"/>
      <c r="H1498" s="893"/>
      <c r="I1498" s="894"/>
      <c r="J1498" s="812" t="s">
        <v>1218</v>
      </c>
      <c r="K1498" s="813"/>
      <c r="L1498" s="813"/>
      <c r="M1498" s="813"/>
      <c r="N1498" s="813"/>
      <c r="O1498" s="814"/>
      <c r="P1498" s="786" t="s">
        <v>1224</v>
      </c>
      <c r="Q1498" s="786"/>
      <c r="R1498" s="786"/>
      <c r="S1498" s="786"/>
      <c r="T1498" s="786"/>
      <c r="U1498" s="786"/>
      <c r="V1498" s="786" t="s">
        <v>1223</v>
      </c>
      <c r="W1498" s="786"/>
      <c r="X1498" s="786"/>
      <c r="Y1498" s="786"/>
      <c r="Z1498" s="786"/>
      <c r="AA1498" s="786"/>
      <c r="AB1498" s="786" t="s">
        <v>1222</v>
      </c>
      <c r="AC1498" s="786"/>
      <c r="AD1498" s="786"/>
      <c r="AE1498" s="786"/>
      <c r="AF1498" s="786"/>
      <c r="AG1498" s="786"/>
    </row>
    <row r="1499" spans="3:33" ht="270" hidden="1" customHeight="1">
      <c r="C1499" s="898">
        <v>1</v>
      </c>
      <c r="D1499" s="898"/>
      <c r="E1499" s="899" t="s">
        <v>1231</v>
      </c>
      <c r="F1499" s="900"/>
      <c r="G1499" s="900"/>
      <c r="H1499" s="900"/>
      <c r="I1499" s="901"/>
      <c r="J1499" s="902" t="s">
        <v>1230</v>
      </c>
      <c r="K1499" s="900"/>
      <c r="L1499" s="900"/>
      <c r="M1499" s="900"/>
      <c r="N1499" s="900"/>
      <c r="O1499" s="901"/>
      <c r="P1499" s="807" t="s">
        <v>1229</v>
      </c>
      <c r="Q1499" s="788"/>
      <c r="R1499" s="788"/>
      <c r="S1499" s="788"/>
      <c r="T1499" s="788"/>
      <c r="U1499" s="788"/>
      <c r="V1499" s="807" t="s">
        <v>1228</v>
      </c>
      <c r="W1499" s="788"/>
      <c r="X1499" s="788"/>
      <c r="Y1499" s="788"/>
      <c r="Z1499" s="788"/>
      <c r="AA1499" s="788"/>
      <c r="AB1499" s="807" t="s">
        <v>1227</v>
      </c>
      <c r="AC1499" s="788"/>
      <c r="AD1499" s="788"/>
      <c r="AE1499" s="788"/>
      <c r="AF1499" s="788"/>
      <c r="AG1499" s="788"/>
    </row>
    <row r="1500" spans="3:33" ht="61.5" hidden="1" customHeight="1">
      <c r="C1500" s="836">
        <v>2</v>
      </c>
      <c r="D1500" s="836"/>
      <c r="E1500" s="874" t="s">
        <v>1236</v>
      </c>
      <c r="F1500" s="875"/>
      <c r="G1500" s="875"/>
      <c r="H1500" s="875"/>
      <c r="I1500" s="876"/>
      <c r="J1500" s="874" t="s">
        <v>1235</v>
      </c>
      <c r="K1500" s="875"/>
      <c r="L1500" s="875"/>
      <c r="M1500" s="875"/>
      <c r="N1500" s="875"/>
      <c r="O1500" s="876"/>
      <c r="P1500" s="836" t="s">
        <v>1234</v>
      </c>
      <c r="Q1500" s="836"/>
      <c r="R1500" s="836"/>
      <c r="S1500" s="836"/>
      <c r="T1500" s="836"/>
      <c r="U1500" s="836"/>
      <c r="V1500" s="836" t="s">
        <v>1233</v>
      </c>
      <c r="W1500" s="836"/>
      <c r="X1500" s="836"/>
      <c r="Y1500" s="836"/>
      <c r="Z1500" s="836"/>
      <c r="AA1500" s="836"/>
      <c r="AB1500" s="836" t="s">
        <v>1232</v>
      </c>
      <c r="AC1500" s="836"/>
      <c r="AD1500" s="836"/>
      <c r="AE1500" s="836"/>
      <c r="AF1500" s="836"/>
      <c r="AG1500" s="836"/>
    </row>
    <row r="1501" spans="3:33" hidden="1">
      <c r="C1501" s="813"/>
      <c r="D1501" s="813"/>
      <c r="E1501" s="813"/>
      <c r="F1501" s="813"/>
      <c r="G1501" s="813"/>
      <c r="H1501" s="813"/>
      <c r="I1501" s="813"/>
      <c r="J1501" s="813"/>
      <c r="K1501" s="813"/>
      <c r="L1501" s="813"/>
      <c r="M1501" s="813"/>
      <c r="N1501" s="813"/>
      <c r="O1501" s="813"/>
      <c r="P1501" s="813"/>
      <c r="Q1501" s="813"/>
      <c r="R1501" s="813"/>
      <c r="S1501" s="813"/>
      <c r="T1501" s="813"/>
      <c r="U1501" s="813"/>
      <c r="V1501" s="813"/>
      <c r="W1501" s="813"/>
      <c r="X1501" s="813"/>
      <c r="Y1501" s="813"/>
      <c r="Z1501" s="813"/>
      <c r="AA1501" s="813"/>
      <c r="AB1501" s="813"/>
      <c r="AC1501" s="813"/>
      <c r="AD1501" s="813"/>
      <c r="AE1501" s="813"/>
      <c r="AF1501" s="813"/>
      <c r="AG1501" s="813"/>
    </row>
    <row r="1502" spans="3:33" ht="36" hidden="1" customHeight="1">
      <c r="C1502" s="778" t="s">
        <v>1226</v>
      </c>
      <c r="D1502" s="778"/>
      <c r="E1502" s="874" t="s">
        <v>1225</v>
      </c>
      <c r="F1502" s="875"/>
      <c r="G1502" s="875"/>
      <c r="H1502" s="875"/>
      <c r="I1502" s="876"/>
      <c r="J1502" s="780" t="s">
        <v>1218</v>
      </c>
      <c r="K1502" s="781"/>
      <c r="L1502" s="781"/>
      <c r="M1502" s="781"/>
      <c r="N1502" s="781"/>
      <c r="O1502" s="782"/>
      <c r="P1502" s="778" t="s">
        <v>1224</v>
      </c>
      <c r="Q1502" s="778"/>
      <c r="R1502" s="778"/>
      <c r="S1502" s="778"/>
      <c r="T1502" s="778"/>
      <c r="U1502" s="778"/>
      <c r="V1502" s="778" t="s">
        <v>1223</v>
      </c>
      <c r="W1502" s="778"/>
      <c r="X1502" s="778"/>
      <c r="Y1502" s="778"/>
      <c r="Z1502" s="778"/>
      <c r="AA1502" s="778"/>
      <c r="AB1502" s="778" t="s">
        <v>1222</v>
      </c>
      <c r="AC1502" s="778"/>
      <c r="AD1502" s="778"/>
      <c r="AE1502" s="778"/>
      <c r="AF1502" s="778"/>
      <c r="AG1502" s="778"/>
    </row>
    <row r="1503" spans="3:33" ht="332.25" hidden="1" customHeight="1">
      <c r="C1503" s="788"/>
      <c r="D1503" s="788"/>
      <c r="E1503" s="888" t="s">
        <v>1241</v>
      </c>
      <c r="F1503" s="791"/>
      <c r="G1503" s="791"/>
      <c r="H1503" s="791"/>
      <c r="I1503" s="792"/>
      <c r="J1503" s="888" t="s">
        <v>1240</v>
      </c>
      <c r="K1503" s="791"/>
      <c r="L1503" s="791"/>
      <c r="M1503" s="791"/>
      <c r="N1503" s="791"/>
      <c r="O1503" s="792"/>
      <c r="P1503" s="807" t="s">
        <v>1239</v>
      </c>
      <c r="Q1503" s="788"/>
      <c r="R1503" s="788"/>
      <c r="S1503" s="788"/>
      <c r="T1503" s="788"/>
      <c r="U1503" s="788"/>
      <c r="V1503" s="807" t="s">
        <v>1238</v>
      </c>
      <c r="W1503" s="788"/>
      <c r="X1503" s="788"/>
      <c r="Y1503" s="788"/>
      <c r="Z1503" s="788"/>
      <c r="AA1503" s="788"/>
      <c r="AB1503" s="807" t="s">
        <v>1237</v>
      </c>
      <c r="AC1503" s="788"/>
      <c r="AD1503" s="788"/>
      <c r="AE1503" s="788"/>
      <c r="AF1503" s="788"/>
      <c r="AG1503" s="788"/>
    </row>
    <row r="1504" spans="3:33" hidden="1">
      <c r="C1504" s="786"/>
      <c r="D1504" s="786"/>
      <c r="E1504" s="812"/>
      <c r="F1504" s="813"/>
      <c r="G1504" s="813"/>
      <c r="H1504" s="813"/>
      <c r="I1504" s="814"/>
      <c r="J1504" s="812"/>
      <c r="K1504" s="813"/>
      <c r="L1504" s="813"/>
      <c r="M1504" s="813"/>
      <c r="N1504" s="813"/>
      <c r="O1504" s="814"/>
      <c r="P1504" s="786"/>
      <c r="Q1504" s="786"/>
      <c r="R1504" s="786"/>
      <c r="S1504" s="786"/>
      <c r="T1504" s="786"/>
      <c r="U1504" s="786"/>
      <c r="V1504" s="786"/>
      <c r="W1504" s="786"/>
      <c r="X1504" s="786"/>
      <c r="Y1504" s="786"/>
      <c r="Z1504" s="786"/>
      <c r="AA1504" s="786"/>
      <c r="AB1504" s="786"/>
      <c r="AC1504" s="786"/>
      <c r="AD1504" s="786"/>
      <c r="AE1504" s="786"/>
      <c r="AF1504" s="786"/>
      <c r="AG1504" s="786"/>
    </row>
    <row r="1505" spans="3:33" hidden="1">
      <c r="C1505" s="786"/>
      <c r="D1505" s="786"/>
      <c r="E1505" s="812"/>
      <c r="F1505" s="813"/>
      <c r="G1505" s="813"/>
      <c r="H1505" s="813"/>
      <c r="I1505" s="814"/>
      <c r="J1505" s="812"/>
      <c r="K1505" s="813"/>
      <c r="L1505" s="813"/>
      <c r="M1505" s="813"/>
      <c r="N1505" s="813"/>
      <c r="O1505" s="814"/>
      <c r="P1505" s="786"/>
      <c r="Q1505" s="786"/>
      <c r="R1505" s="786"/>
      <c r="S1505" s="786"/>
      <c r="T1505" s="786"/>
      <c r="U1505" s="786"/>
      <c r="V1505" s="786"/>
      <c r="W1505" s="786"/>
      <c r="X1505" s="786"/>
      <c r="Y1505" s="786"/>
      <c r="Z1505" s="786"/>
      <c r="AA1505" s="786"/>
      <c r="AB1505" s="786"/>
      <c r="AC1505" s="786"/>
      <c r="AD1505" s="786"/>
      <c r="AE1505" s="786"/>
      <c r="AF1505" s="786"/>
      <c r="AG1505" s="786"/>
    </row>
    <row r="1506" spans="3:33" hidden="1">
      <c r="C1506" s="786"/>
      <c r="D1506" s="786"/>
      <c r="E1506" s="812"/>
      <c r="F1506" s="813"/>
      <c r="G1506" s="813"/>
      <c r="H1506" s="813"/>
      <c r="I1506" s="814"/>
      <c r="J1506" s="812"/>
      <c r="K1506" s="813"/>
      <c r="L1506" s="813"/>
      <c r="M1506" s="813"/>
      <c r="N1506" s="813"/>
      <c r="O1506" s="814"/>
      <c r="P1506" s="786"/>
      <c r="Q1506" s="786"/>
      <c r="R1506" s="786"/>
      <c r="S1506" s="786"/>
      <c r="T1506" s="786"/>
      <c r="U1506" s="786"/>
      <c r="V1506" s="786"/>
      <c r="W1506" s="786"/>
      <c r="X1506" s="786"/>
      <c r="Y1506" s="786"/>
      <c r="Z1506" s="786"/>
      <c r="AA1506" s="786"/>
      <c r="AB1506" s="786"/>
      <c r="AC1506" s="786"/>
      <c r="AD1506" s="786"/>
      <c r="AE1506" s="786"/>
      <c r="AF1506" s="786"/>
      <c r="AG1506" s="786"/>
    </row>
    <row r="1507" spans="3:33" hidden="1"/>
    <row r="1508" spans="3:33" hidden="1">
      <c r="C1508" t="s">
        <v>1242</v>
      </c>
    </row>
    <row r="1509" spans="3:33" hidden="1"/>
    <row r="1510" spans="3:33" hidden="1">
      <c r="C1510" s="812" t="s">
        <v>937</v>
      </c>
      <c r="D1510" s="813"/>
      <c r="E1510" s="813"/>
      <c r="F1510" s="813"/>
      <c r="G1510" s="813"/>
      <c r="H1510" s="813"/>
      <c r="I1510" s="813"/>
      <c r="J1510" s="813"/>
      <c r="K1510" s="813"/>
      <c r="L1510" s="814"/>
      <c r="M1510" s="786" t="s">
        <v>1179</v>
      </c>
      <c r="N1510" s="786"/>
      <c r="O1510" s="786"/>
      <c r="P1510" s="786" t="s">
        <v>1182</v>
      </c>
      <c r="Q1510" s="786"/>
      <c r="R1510" s="786"/>
      <c r="S1510" s="786" t="s">
        <v>1183</v>
      </c>
      <c r="T1510" s="786"/>
      <c r="U1510" s="786"/>
      <c r="V1510" s="786" t="s">
        <v>1184</v>
      </c>
      <c r="W1510" s="786"/>
      <c r="X1510" s="786"/>
      <c r="Y1510" s="786" t="s">
        <v>1185</v>
      </c>
      <c r="Z1510" s="786"/>
      <c r="AA1510" s="786"/>
      <c r="AB1510" s="786" t="s">
        <v>1186</v>
      </c>
      <c r="AC1510" s="786"/>
      <c r="AD1510" s="786"/>
      <c r="AE1510" s="786" t="s">
        <v>1187</v>
      </c>
      <c r="AF1510" s="786"/>
      <c r="AG1510" s="786"/>
    </row>
    <row r="1511" spans="3:33" hidden="1">
      <c r="C1511" s="812" t="s">
        <v>1243</v>
      </c>
      <c r="D1511" s="813"/>
      <c r="E1511" s="813"/>
      <c r="F1511" s="813"/>
      <c r="G1511" s="813"/>
      <c r="H1511" s="813"/>
      <c r="I1511" s="813"/>
      <c r="J1511" s="813"/>
      <c r="K1511" s="813"/>
      <c r="L1511" s="814"/>
      <c r="M1511" s="786"/>
      <c r="N1511" s="786"/>
      <c r="O1511" s="786"/>
      <c r="P1511" s="786"/>
      <c r="Q1511" s="786"/>
      <c r="R1511" s="786"/>
      <c r="S1511" s="786"/>
      <c r="T1511" s="786"/>
      <c r="U1511" s="786"/>
      <c r="V1511" s="786"/>
      <c r="W1511" s="786"/>
      <c r="X1511" s="786"/>
      <c r="Y1511" s="786"/>
      <c r="Z1511" s="786"/>
      <c r="AA1511" s="786"/>
      <c r="AB1511" s="786"/>
      <c r="AC1511" s="786"/>
      <c r="AD1511" s="786"/>
      <c r="AE1511" s="786"/>
      <c r="AF1511" s="786"/>
      <c r="AG1511" s="786"/>
    </row>
    <row r="1512" spans="3:33" hidden="1">
      <c r="C1512" s="812" t="s">
        <v>1244</v>
      </c>
      <c r="D1512" s="813"/>
      <c r="E1512" s="813"/>
      <c r="F1512" s="813"/>
      <c r="G1512" s="813"/>
      <c r="H1512" s="813"/>
      <c r="I1512" s="813"/>
      <c r="J1512" s="813"/>
      <c r="K1512" s="813"/>
      <c r="L1512" s="814"/>
      <c r="M1512" s="786"/>
      <c r="N1512" s="786"/>
      <c r="O1512" s="786"/>
      <c r="P1512" s="786"/>
      <c r="Q1512" s="786"/>
      <c r="R1512" s="786"/>
      <c r="S1512" s="786"/>
      <c r="T1512" s="786"/>
      <c r="U1512" s="786"/>
      <c r="V1512" s="786"/>
      <c r="W1512" s="786"/>
      <c r="X1512" s="786"/>
      <c r="Y1512" s="786"/>
      <c r="Z1512" s="786"/>
      <c r="AA1512" s="786"/>
      <c r="AB1512" s="786"/>
      <c r="AC1512" s="786"/>
      <c r="AD1512" s="786"/>
      <c r="AE1512" s="786"/>
      <c r="AF1512" s="786"/>
      <c r="AG1512" s="786"/>
    </row>
    <row r="1513" spans="3:33" hidden="1">
      <c r="C1513" s="812"/>
      <c r="D1513" s="813"/>
      <c r="E1513" s="813"/>
      <c r="F1513" s="813"/>
      <c r="G1513" s="813"/>
      <c r="H1513" s="813"/>
      <c r="I1513" s="813"/>
      <c r="J1513" s="813"/>
      <c r="K1513" s="813"/>
      <c r="L1513" s="814"/>
      <c r="M1513" s="786"/>
      <c r="N1513" s="786"/>
      <c r="O1513" s="786"/>
      <c r="P1513" s="786"/>
      <c r="Q1513" s="786"/>
      <c r="R1513" s="786"/>
      <c r="S1513" s="786"/>
      <c r="T1513" s="786"/>
      <c r="U1513" s="786"/>
      <c r="V1513" s="786"/>
      <c r="W1513" s="786"/>
      <c r="X1513" s="786"/>
      <c r="Y1513" s="786"/>
      <c r="Z1513" s="786"/>
      <c r="AA1513" s="786"/>
      <c r="AB1513" s="786"/>
      <c r="AC1513" s="786"/>
      <c r="AD1513" s="786"/>
      <c r="AE1513" s="786"/>
      <c r="AF1513" s="786"/>
      <c r="AG1513" s="786"/>
    </row>
    <row r="1514" spans="3:33" hidden="1">
      <c r="C1514" s="812" t="s">
        <v>937</v>
      </c>
      <c r="D1514" s="813"/>
      <c r="E1514" s="813"/>
      <c r="F1514" s="813"/>
      <c r="G1514" s="813"/>
      <c r="H1514" s="813"/>
      <c r="I1514" s="813"/>
      <c r="J1514" s="813"/>
      <c r="K1514" s="813"/>
      <c r="L1514" s="814"/>
      <c r="M1514" s="786" t="s">
        <v>1179</v>
      </c>
      <c r="N1514" s="786"/>
      <c r="O1514" s="786"/>
      <c r="P1514" s="786" t="s">
        <v>1182</v>
      </c>
      <c r="Q1514" s="786"/>
      <c r="R1514" s="786"/>
      <c r="S1514" s="786" t="s">
        <v>1183</v>
      </c>
      <c r="T1514" s="786"/>
      <c r="U1514" s="786"/>
      <c r="V1514" s="786" t="s">
        <v>1184</v>
      </c>
      <c r="W1514" s="786"/>
      <c r="X1514" s="786"/>
      <c r="Y1514" s="786" t="s">
        <v>1185</v>
      </c>
      <c r="Z1514" s="786"/>
      <c r="AA1514" s="786"/>
      <c r="AB1514" s="786" t="s">
        <v>1186</v>
      </c>
      <c r="AC1514" s="786"/>
      <c r="AD1514" s="786"/>
      <c r="AE1514" s="786" t="s">
        <v>1187</v>
      </c>
      <c r="AF1514" s="786"/>
      <c r="AG1514" s="786"/>
    </row>
    <row r="1515" spans="3:33" hidden="1">
      <c r="C1515" s="812" t="s">
        <v>1245</v>
      </c>
      <c r="D1515" s="813"/>
      <c r="E1515" s="813"/>
      <c r="F1515" s="813"/>
      <c r="G1515" s="813"/>
      <c r="H1515" s="813"/>
      <c r="I1515" s="813"/>
      <c r="J1515" s="813"/>
      <c r="K1515" s="813"/>
      <c r="L1515" s="814"/>
      <c r="M1515" s="786"/>
      <c r="N1515" s="786"/>
      <c r="O1515" s="786"/>
      <c r="P1515" s="786"/>
      <c r="Q1515" s="786"/>
      <c r="R1515" s="786"/>
      <c r="S1515" s="786"/>
      <c r="T1515" s="786"/>
      <c r="U1515" s="786"/>
      <c r="V1515" s="786"/>
      <c r="W1515" s="786"/>
      <c r="X1515" s="786"/>
      <c r="Y1515" s="786"/>
      <c r="Z1515" s="786"/>
      <c r="AA1515" s="786"/>
      <c r="AB1515" s="786"/>
      <c r="AC1515" s="786"/>
      <c r="AD1515" s="786"/>
      <c r="AE1515" s="786"/>
      <c r="AF1515" s="786"/>
      <c r="AG1515" s="786"/>
    </row>
    <row r="1516" spans="3:33" hidden="1">
      <c r="C1516" s="812" t="s">
        <v>1246</v>
      </c>
      <c r="D1516" s="813"/>
      <c r="E1516" s="813"/>
      <c r="F1516" s="813"/>
      <c r="G1516" s="813"/>
      <c r="H1516" s="813"/>
      <c r="I1516" s="813"/>
      <c r="J1516" s="813"/>
      <c r="K1516" s="813"/>
      <c r="L1516" s="814"/>
      <c r="M1516" s="786"/>
      <c r="N1516" s="786"/>
      <c r="O1516" s="786"/>
      <c r="P1516" s="786"/>
      <c r="Q1516" s="786"/>
      <c r="R1516" s="786"/>
      <c r="S1516" s="786"/>
      <c r="T1516" s="786"/>
      <c r="U1516" s="786"/>
      <c r="V1516" s="786"/>
      <c r="W1516" s="786"/>
      <c r="X1516" s="786"/>
      <c r="Y1516" s="786"/>
      <c r="Z1516" s="786"/>
      <c r="AA1516" s="786"/>
      <c r="AB1516" s="786"/>
      <c r="AC1516" s="786"/>
      <c r="AD1516" s="786"/>
      <c r="AE1516" s="786"/>
      <c r="AF1516" s="786"/>
      <c r="AG1516" s="786"/>
    </row>
    <row r="1517" spans="3:33" hidden="1">
      <c r="C1517" s="812" t="s">
        <v>1247</v>
      </c>
      <c r="D1517" s="813"/>
      <c r="E1517" s="813"/>
      <c r="F1517" s="813"/>
      <c r="G1517" s="813"/>
      <c r="H1517" s="813"/>
      <c r="I1517" s="813"/>
      <c r="J1517" s="813"/>
      <c r="K1517" s="813"/>
      <c r="L1517" s="814"/>
      <c r="M1517" s="786"/>
      <c r="N1517" s="786"/>
      <c r="O1517" s="786"/>
      <c r="P1517" s="786"/>
      <c r="Q1517" s="786"/>
      <c r="R1517" s="786"/>
      <c r="S1517" s="786"/>
      <c r="T1517" s="786"/>
      <c r="U1517" s="786"/>
      <c r="V1517" s="786"/>
      <c r="W1517" s="786"/>
      <c r="X1517" s="786"/>
      <c r="Y1517" s="786"/>
      <c r="Z1517" s="786"/>
      <c r="AA1517" s="786"/>
      <c r="AB1517" s="786"/>
      <c r="AC1517" s="786"/>
      <c r="AD1517" s="786"/>
      <c r="AE1517" s="786"/>
      <c r="AF1517" s="786"/>
      <c r="AG1517" s="786"/>
    </row>
    <row r="1518" spans="3:33" hidden="1">
      <c r="C1518" s="812"/>
      <c r="D1518" s="813"/>
      <c r="E1518" s="813"/>
      <c r="F1518" s="813"/>
      <c r="G1518" s="813"/>
      <c r="H1518" s="813"/>
      <c r="I1518" s="813"/>
      <c r="J1518" s="813"/>
      <c r="K1518" s="813"/>
      <c r="L1518" s="814"/>
      <c r="M1518" s="786"/>
      <c r="N1518" s="786"/>
      <c r="O1518" s="786"/>
      <c r="P1518" s="786"/>
      <c r="Q1518" s="786"/>
      <c r="R1518" s="786"/>
      <c r="S1518" s="786"/>
      <c r="T1518" s="786"/>
      <c r="U1518" s="786"/>
      <c r="V1518" s="786"/>
      <c r="W1518" s="786"/>
      <c r="X1518" s="786"/>
      <c r="Y1518" s="786"/>
      <c r="Z1518" s="786"/>
      <c r="AA1518" s="786"/>
      <c r="AB1518" s="786"/>
      <c r="AC1518" s="786"/>
      <c r="AD1518" s="786"/>
      <c r="AE1518" s="786"/>
      <c r="AF1518" s="786"/>
      <c r="AG1518" s="786"/>
    </row>
    <row r="1519" spans="3:33" hidden="1">
      <c r="C1519" s="812"/>
      <c r="D1519" s="813"/>
      <c r="E1519" s="813"/>
      <c r="F1519" s="813"/>
      <c r="G1519" s="813"/>
      <c r="H1519" s="813"/>
      <c r="I1519" s="813"/>
      <c r="J1519" s="813"/>
      <c r="K1519" s="813"/>
      <c r="L1519" s="814"/>
      <c r="M1519" s="786"/>
      <c r="N1519" s="786"/>
      <c r="O1519" s="786"/>
      <c r="P1519" s="786"/>
      <c r="Q1519" s="786"/>
      <c r="R1519" s="786"/>
      <c r="S1519" s="786"/>
      <c r="T1519" s="786"/>
      <c r="U1519" s="786"/>
      <c r="V1519" s="786"/>
      <c r="W1519" s="786"/>
      <c r="X1519" s="786"/>
      <c r="Y1519" s="786"/>
      <c r="Z1519" s="786"/>
      <c r="AA1519" s="786"/>
      <c r="AB1519" s="786"/>
      <c r="AC1519" s="786"/>
      <c r="AD1519" s="786"/>
      <c r="AE1519" s="786"/>
      <c r="AF1519" s="786"/>
      <c r="AG1519" s="786"/>
    </row>
    <row r="1520" spans="3:33" hidden="1">
      <c r="C1520" s="812" t="s">
        <v>1248</v>
      </c>
      <c r="D1520" s="813"/>
      <c r="E1520" s="813"/>
      <c r="F1520" s="813"/>
      <c r="G1520" s="813"/>
      <c r="H1520" s="813"/>
      <c r="I1520" s="813"/>
      <c r="J1520" s="813"/>
      <c r="K1520" s="813"/>
      <c r="L1520" s="814"/>
      <c r="M1520" s="786"/>
      <c r="N1520" s="786"/>
      <c r="O1520" s="786"/>
      <c r="P1520" s="786"/>
      <c r="Q1520" s="786"/>
      <c r="R1520" s="786"/>
      <c r="S1520" s="786"/>
      <c r="T1520" s="786"/>
      <c r="U1520" s="786"/>
      <c r="V1520" s="786"/>
      <c r="W1520" s="786"/>
      <c r="X1520" s="786"/>
      <c r="Y1520" s="786"/>
      <c r="Z1520" s="786"/>
      <c r="AA1520" s="786"/>
      <c r="AB1520" s="786"/>
      <c r="AC1520" s="786"/>
      <c r="AD1520" s="786"/>
      <c r="AE1520" s="786"/>
      <c r="AF1520" s="786"/>
      <c r="AG1520" s="786"/>
    </row>
    <row r="1521" spans="3:33" hidden="1">
      <c r="C1521" s="812" t="s">
        <v>1245</v>
      </c>
      <c r="D1521" s="813"/>
      <c r="E1521" s="813"/>
      <c r="F1521" s="813"/>
      <c r="G1521" s="813"/>
      <c r="H1521" s="813"/>
      <c r="I1521" s="813"/>
      <c r="J1521" s="813"/>
      <c r="K1521" s="813"/>
      <c r="L1521" s="814"/>
      <c r="M1521" s="786"/>
      <c r="N1521" s="786"/>
      <c r="O1521" s="786"/>
      <c r="P1521" s="786"/>
      <c r="Q1521" s="786"/>
      <c r="R1521" s="786"/>
      <c r="S1521" s="786"/>
      <c r="T1521" s="786"/>
      <c r="U1521" s="786"/>
      <c r="V1521" s="786"/>
      <c r="W1521" s="786"/>
      <c r="X1521" s="786"/>
      <c r="Y1521" s="786"/>
      <c r="Z1521" s="786"/>
      <c r="AA1521" s="786"/>
      <c r="AB1521" s="786"/>
      <c r="AC1521" s="786"/>
      <c r="AD1521" s="786"/>
      <c r="AE1521" s="786"/>
      <c r="AF1521" s="786"/>
      <c r="AG1521" s="786"/>
    </row>
    <row r="1522" spans="3:33" hidden="1">
      <c r="C1522" s="812" t="s">
        <v>1246</v>
      </c>
      <c r="D1522" s="813"/>
      <c r="E1522" s="813"/>
      <c r="F1522" s="813"/>
      <c r="G1522" s="813"/>
      <c r="H1522" s="813"/>
      <c r="I1522" s="813"/>
      <c r="J1522" s="813"/>
      <c r="K1522" s="813"/>
      <c r="L1522" s="814"/>
      <c r="M1522" s="786"/>
      <c r="N1522" s="786"/>
      <c r="O1522" s="786"/>
      <c r="P1522" s="786"/>
      <c r="Q1522" s="786"/>
      <c r="R1522" s="786"/>
      <c r="S1522" s="786"/>
      <c r="T1522" s="786"/>
      <c r="U1522" s="786"/>
      <c r="V1522" s="786"/>
      <c r="W1522" s="786"/>
      <c r="X1522" s="786"/>
      <c r="Y1522" s="786"/>
      <c r="Z1522" s="786"/>
      <c r="AA1522" s="786"/>
      <c r="AB1522" s="786"/>
      <c r="AC1522" s="786"/>
      <c r="AD1522" s="786"/>
      <c r="AE1522" s="786"/>
      <c r="AF1522" s="786"/>
      <c r="AG1522" s="786"/>
    </row>
    <row r="1523" spans="3:33" hidden="1">
      <c r="C1523" s="812" t="s">
        <v>1247</v>
      </c>
      <c r="D1523" s="813"/>
      <c r="E1523" s="813"/>
      <c r="F1523" s="813"/>
      <c r="G1523" s="813"/>
      <c r="H1523" s="813"/>
      <c r="I1523" s="813"/>
      <c r="J1523" s="813"/>
      <c r="K1523" s="813"/>
      <c r="L1523" s="814"/>
      <c r="M1523" s="786"/>
      <c r="N1523" s="786"/>
      <c r="O1523" s="786"/>
      <c r="P1523" s="786"/>
      <c r="Q1523" s="786"/>
      <c r="R1523" s="786"/>
      <c r="S1523" s="786"/>
      <c r="T1523" s="786"/>
      <c r="U1523" s="786"/>
      <c r="V1523" s="786"/>
      <c r="W1523" s="786"/>
      <c r="X1523" s="786"/>
      <c r="Y1523" s="786"/>
      <c r="Z1523" s="786"/>
      <c r="AA1523" s="786"/>
      <c r="AB1523" s="786"/>
      <c r="AC1523" s="786"/>
      <c r="AD1523" s="786"/>
      <c r="AE1523" s="786"/>
      <c r="AF1523" s="786"/>
      <c r="AG1523" s="786"/>
    </row>
    <row r="1524" spans="3:33" hidden="1">
      <c r="C1524" s="812"/>
      <c r="D1524" s="813"/>
      <c r="E1524" s="813"/>
      <c r="F1524" s="813"/>
      <c r="G1524" s="813"/>
      <c r="H1524" s="813"/>
      <c r="I1524" s="813"/>
      <c r="J1524" s="813"/>
      <c r="K1524" s="813"/>
      <c r="L1524" s="814"/>
      <c r="M1524" s="786"/>
      <c r="N1524" s="786"/>
      <c r="O1524" s="786"/>
      <c r="P1524" s="786"/>
      <c r="Q1524" s="786"/>
      <c r="R1524" s="786"/>
      <c r="S1524" s="786"/>
      <c r="T1524" s="786"/>
      <c r="U1524" s="786"/>
      <c r="V1524" s="786"/>
      <c r="W1524" s="786"/>
      <c r="X1524" s="786"/>
      <c r="Y1524" s="786"/>
      <c r="Z1524" s="786"/>
      <c r="AA1524" s="786"/>
      <c r="AB1524" s="786"/>
      <c r="AC1524" s="786"/>
      <c r="AD1524" s="786"/>
      <c r="AE1524" s="786"/>
      <c r="AF1524" s="786"/>
      <c r="AG1524" s="786"/>
    </row>
    <row r="1525" spans="3:33" hidden="1">
      <c r="C1525" s="812" t="s">
        <v>1249</v>
      </c>
      <c r="D1525" s="813"/>
      <c r="E1525" s="813"/>
      <c r="F1525" s="813"/>
      <c r="G1525" s="813"/>
      <c r="H1525" s="813"/>
      <c r="I1525" s="813"/>
      <c r="J1525" s="813"/>
      <c r="K1525" s="813"/>
      <c r="L1525" s="814"/>
      <c r="M1525" s="786"/>
      <c r="N1525" s="786"/>
      <c r="O1525" s="786"/>
      <c r="P1525" s="786"/>
      <c r="Q1525" s="786"/>
      <c r="R1525" s="786"/>
      <c r="S1525" s="786"/>
      <c r="T1525" s="786"/>
      <c r="U1525" s="786"/>
      <c r="V1525" s="786"/>
      <c r="W1525" s="786"/>
      <c r="X1525" s="786"/>
      <c r="Y1525" s="786"/>
      <c r="Z1525" s="786"/>
      <c r="AA1525" s="786"/>
      <c r="AB1525" s="786"/>
      <c r="AC1525" s="786"/>
      <c r="AD1525" s="786"/>
      <c r="AE1525" s="786"/>
      <c r="AF1525" s="786"/>
      <c r="AG1525" s="786"/>
    </row>
    <row r="1526" spans="3:33" hidden="1">
      <c r="C1526" s="812" t="s">
        <v>1245</v>
      </c>
      <c r="D1526" s="813"/>
      <c r="E1526" s="813"/>
      <c r="F1526" s="813"/>
      <c r="G1526" s="813"/>
      <c r="H1526" s="813"/>
      <c r="I1526" s="813"/>
      <c r="J1526" s="813"/>
      <c r="K1526" s="813"/>
      <c r="L1526" s="814"/>
      <c r="M1526" s="786"/>
      <c r="N1526" s="786"/>
      <c r="O1526" s="786"/>
      <c r="P1526" s="786"/>
      <c r="Q1526" s="786"/>
      <c r="R1526" s="786"/>
      <c r="S1526" s="786"/>
      <c r="T1526" s="786"/>
      <c r="U1526" s="786"/>
      <c r="V1526" s="786"/>
      <c r="W1526" s="786"/>
      <c r="X1526" s="786"/>
      <c r="Y1526" s="786"/>
      <c r="Z1526" s="786"/>
      <c r="AA1526" s="786"/>
      <c r="AB1526" s="786"/>
      <c r="AC1526" s="786"/>
      <c r="AD1526" s="786"/>
      <c r="AE1526" s="786"/>
      <c r="AF1526" s="786"/>
      <c r="AG1526" s="786"/>
    </row>
    <row r="1527" spans="3:33" hidden="1">
      <c r="C1527" s="812" t="s">
        <v>1246</v>
      </c>
      <c r="D1527" s="813"/>
      <c r="E1527" s="813"/>
      <c r="F1527" s="813"/>
      <c r="G1527" s="813"/>
      <c r="H1527" s="813"/>
      <c r="I1527" s="813"/>
      <c r="J1527" s="813"/>
      <c r="K1527" s="813"/>
      <c r="L1527" s="814"/>
      <c r="M1527" s="786"/>
      <c r="N1527" s="786"/>
      <c r="O1527" s="786"/>
      <c r="P1527" s="786"/>
      <c r="Q1527" s="786"/>
      <c r="R1527" s="786"/>
      <c r="S1527" s="786"/>
      <c r="T1527" s="786"/>
      <c r="U1527" s="786"/>
      <c r="V1527" s="786"/>
      <c r="W1527" s="786"/>
      <c r="X1527" s="786"/>
      <c r="Y1527" s="786"/>
      <c r="Z1527" s="786"/>
      <c r="AA1527" s="786"/>
      <c r="AB1527" s="786"/>
      <c r="AC1527" s="786"/>
      <c r="AD1527" s="786"/>
      <c r="AE1527" s="786"/>
      <c r="AF1527" s="786"/>
      <c r="AG1527" s="786"/>
    </row>
    <row r="1528" spans="3:33" hidden="1">
      <c r="C1528" s="812" t="s">
        <v>1247</v>
      </c>
      <c r="D1528" s="813"/>
      <c r="E1528" s="813"/>
      <c r="F1528" s="813"/>
      <c r="G1528" s="813"/>
      <c r="H1528" s="813"/>
      <c r="I1528" s="813"/>
      <c r="J1528" s="813"/>
      <c r="K1528" s="813"/>
      <c r="L1528" s="814"/>
      <c r="M1528" s="786"/>
      <c r="N1528" s="786"/>
      <c r="O1528" s="786"/>
      <c r="P1528" s="786"/>
      <c r="Q1528" s="786"/>
      <c r="R1528" s="786"/>
      <c r="S1528" s="786"/>
      <c r="T1528" s="786"/>
      <c r="U1528" s="786"/>
      <c r="V1528" s="786"/>
      <c r="W1528" s="786"/>
      <c r="X1528" s="786"/>
      <c r="Y1528" s="786"/>
      <c r="Z1528" s="786"/>
      <c r="AA1528" s="786"/>
      <c r="AB1528" s="786"/>
      <c r="AC1528" s="786"/>
      <c r="AD1528" s="786"/>
      <c r="AE1528" s="786"/>
      <c r="AF1528" s="786"/>
      <c r="AG1528" s="786"/>
    </row>
    <row r="1529" spans="3:33" hidden="1">
      <c r="C1529" s="812"/>
      <c r="D1529" s="813"/>
      <c r="E1529" s="813"/>
      <c r="F1529" s="813"/>
      <c r="G1529" s="813"/>
      <c r="H1529" s="813"/>
      <c r="I1529" s="813"/>
      <c r="J1529" s="813"/>
      <c r="K1529" s="813"/>
      <c r="L1529" s="814"/>
      <c r="M1529" s="786"/>
      <c r="N1529" s="786"/>
      <c r="O1529" s="786"/>
      <c r="P1529" s="786"/>
      <c r="Q1529" s="786"/>
      <c r="R1529" s="786"/>
      <c r="S1529" s="786"/>
      <c r="T1529" s="786"/>
      <c r="U1529" s="786"/>
      <c r="V1529" s="786"/>
      <c r="W1529" s="786"/>
      <c r="X1529" s="786"/>
      <c r="Y1529" s="786"/>
      <c r="Z1529" s="786"/>
      <c r="AA1529" s="786"/>
      <c r="AB1529" s="786"/>
      <c r="AC1529" s="786"/>
      <c r="AD1529" s="786"/>
      <c r="AE1529" s="786"/>
      <c r="AF1529" s="786"/>
      <c r="AG1529" s="786"/>
    </row>
    <row r="1530" spans="3:33" hidden="1">
      <c r="C1530" s="812" t="s">
        <v>1250</v>
      </c>
      <c r="D1530" s="813"/>
      <c r="E1530" s="813"/>
      <c r="F1530" s="813"/>
      <c r="G1530" s="813"/>
      <c r="H1530" s="813"/>
      <c r="I1530" s="813"/>
      <c r="J1530" s="813"/>
      <c r="K1530" s="813"/>
      <c r="L1530" s="814"/>
      <c r="M1530" s="786"/>
      <c r="N1530" s="786"/>
      <c r="O1530" s="786"/>
      <c r="P1530" s="786"/>
      <c r="Q1530" s="786"/>
      <c r="R1530" s="786"/>
      <c r="S1530" s="786"/>
      <c r="T1530" s="786"/>
      <c r="U1530" s="786"/>
      <c r="V1530" s="786"/>
      <c r="W1530" s="786"/>
      <c r="X1530" s="786"/>
      <c r="Y1530" s="786"/>
      <c r="Z1530" s="786"/>
      <c r="AA1530" s="786"/>
      <c r="AB1530" s="786"/>
      <c r="AC1530" s="786"/>
      <c r="AD1530" s="786"/>
      <c r="AE1530" s="786"/>
      <c r="AF1530" s="786"/>
      <c r="AG1530" s="786"/>
    </row>
    <row r="1531" spans="3:33" hidden="1">
      <c r="C1531" s="812"/>
      <c r="D1531" s="813"/>
      <c r="E1531" s="813"/>
      <c r="F1531" s="813"/>
      <c r="G1531" s="813"/>
      <c r="H1531" s="813"/>
      <c r="I1531" s="813"/>
      <c r="J1531" s="813"/>
      <c r="K1531" s="813"/>
      <c r="L1531" s="814"/>
      <c r="M1531" s="786"/>
      <c r="N1531" s="786"/>
      <c r="O1531" s="786"/>
      <c r="P1531" s="786"/>
      <c r="Q1531" s="786"/>
      <c r="R1531" s="786"/>
      <c r="S1531" s="786"/>
      <c r="T1531" s="786"/>
      <c r="U1531" s="786"/>
      <c r="V1531" s="786"/>
      <c r="W1531" s="786"/>
      <c r="X1531" s="786"/>
      <c r="Y1531" s="786"/>
      <c r="Z1531" s="786"/>
      <c r="AA1531" s="786"/>
      <c r="AB1531" s="786"/>
      <c r="AC1531" s="786"/>
      <c r="AD1531" s="786"/>
      <c r="AE1531" s="786"/>
      <c r="AF1531" s="786"/>
      <c r="AG1531" s="786"/>
    </row>
    <row r="1532" spans="3:33" hidden="1">
      <c r="C1532" s="812" t="s">
        <v>1251</v>
      </c>
      <c r="D1532" s="813"/>
      <c r="E1532" s="813"/>
      <c r="F1532" s="813"/>
      <c r="G1532" s="813"/>
      <c r="H1532" s="813"/>
      <c r="I1532" s="813"/>
      <c r="J1532" s="813"/>
      <c r="K1532" s="813"/>
      <c r="L1532" s="814"/>
      <c r="M1532" s="786"/>
      <c r="N1532" s="786"/>
      <c r="O1532" s="786"/>
      <c r="P1532" s="786"/>
      <c r="Q1532" s="786"/>
      <c r="R1532" s="786"/>
      <c r="S1532" s="786"/>
      <c r="T1532" s="786"/>
      <c r="U1532" s="786"/>
      <c r="V1532" s="786"/>
      <c r="W1532" s="786"/>
      <c r="X1532" s="786"/>
      <c r="Y1532" s="786"/>
      <c r="Z1532" s="786"/>
      <c r="AA1532" s="786"/>
      <c r="AB1532" s="786"/>
      <c r="AC1532" s="786"/>
      <c r="AD1532" s="786"/>
      <c r="AE1532" s="786"/>
      <c r="AF1532" s="786"/>
      <c r="AG1532" s="786"/>
    </row>
    <row r="1533" spans="3:33" hidden="1">
      <c r="C1533" s="812" t="s">
        <v>1252</v>
      </c>
      <c r="D1533" s="813"/>
      <c r="E1533" s="813"/>
      <c r="F1533" s="813"/>
      <c r="G1533" s="813"/>
      <c r="H1533" s="813"/>
      <c r="I1533" s="813"/>
      <c r="J1533" s="813"/>
      <c r="K1533" s="813"/>
      <c r="L1533" s="814"/>
      <c r="M1533" s="786"/>
      <c r="N1533" s="786"/>
      <c r="O1533" s="786"/>
      <c r="P1533" s="786"/>
      <c r="Q1533" s="786"/>
      <c r="R1533" s="786"/>
      <c r="S1533" s="786"/>
      <c r="T1533" s="786"/>
      <c r="U1533" s="786"/>
      <c r="V1533" s="786"/>
      <c r="W1533" s="786"/>
      <c r="X1533" s="786"/>
      <c r="Y1533" s="786"/>
      <c r="Z1533" s="786"/>
      <c r="AA1533" s="786"/>
      <c r="AB1533" s="786"/>
      <c r="AC1533" s="786"/>
      <c r="AD1533" s="786"/>
      <c r="AE1533" s="786"/>
      <c r="AF1533" s="786"/>
      <c r="AG1533" s="786"/>
    </row>
    <row r="1534" spans="3:33" ht="6" hidden="1" customHeight="1">
      <c r="C1534" s="812"/>
      <c r="D1534" s="813"/>
      <c r="E1534" s="813"/>
      <c r="F1534" s="813"/>
      <c r="G1534" s="813"/>
      <c r="H1534" s="813"/>
      <c r="I1534" s="813"/>
      <c r="J1534" s="813"/>
      <c r="K1534" s="813"/>
      <c r="L1534" s="814"/>
      <c r="M1534" s="786"/>
      <c r="N1534" s="786"/>
      <c r="O1534" s="786"/>
      <c r="P1534" s="786"/>
      <c r="Q1534" s="786"/>
      <c r="R1534" s="786"/>
      <c r="S1534" s="786"/>
      <c r="T1534" s="786"/>
      <c r="U1534" s="786"/>
      <c r="V1534" s="786"/>
      <c r="W1534" s="786"/>
      <c r="X1534" s="786"/>
      <c r="Y1534" s="786"/>
      <c r="Z1534" s="786"/>
      <c r="AA1534" s="786"/>
      <c r="AB1534" s="786"/>
      <c r="AC1534" s="786"/>
      <c r="AD1534" s="786"/>
      <c r="AE1534" s="786"/>
      <c r="AF1534" s="786"/>
      <c r="AG1534" s="786"/>
    </row>
    <row r="1535" spans="3:33" hidden="1">
      <c r="C1535" s="812" t="s">
        <v>1253</v>
      </c>
      <c r="D1535" s="813"/>
      <c r="E1535" s="813"/>
      <c r="F1535" s="813"/>
      <c r="G1535" s="813"/>
      <c r="H1535" s="813"/>
      <c r="I1535" s="813"/>
      <c r="J1535" s="813"/>
      <c r="K1535" s="813"/>
      <c r="L1535" s="814"/>
      <c r="M1535" s="786"/>
      <c r="N1535" s="786"/>
      <c r="O1535" s="786"/>
      <c r="P1535" s="786"/>
      <c r="Q1535" s="786"/>
      <c r="R1535" s="786"/>
      <c r="S1535" s="786"/>
      <c r="T1535" s="786"/>
      <c r="U1535" s="786"/>
      <c r="V1535" s="786"/>
      <c r="W1535" s="786"/>
      <c r="X1535" s="786"/>
      <c r="Y1535" s="786"/>
      <c r="Z1535" s="786"/>
      <c r="AA1535" s="786"/>
      <c r="AB1535" s="786"/>
      <c r="AC1535" s="786"/>
      <c r="AD1535" s="786"/>
      <c r="AE1535" s="786"/>
      <c r="AF1535" s="786"/>
      <c r="AG1535" s="786"/>
    </row>
    <row r="1536" spans="3:33" hidden="1">
      <c r="C1536" s="812"/>
      <c r="D1536" s="813"/>
      <c r="E1536" s="813"/>
      <c r="F1536" s="813"/>
      <c r="G1536" s="813"/>
      <c r="H1536" s="813"/>
      <c r="I1536" s="813"/>
      <c r="J1536" s="813"/>
      <c r="K1536" s="813"/>
      <c r="L1536" s="814"/>
      <c r="M1536" s="786"/>
      <c r="N1536" s="786"/>
      <c r="O1536" s="786"/>
      <c r="P1536" s="786"/>
      <c r="Q1536" s="786"/>
      <c r="R1536" s="786"/>
      <c r="S1536" s="786"/>
      <c r="T1536" s="786"/>
      <c r="U1536" s="786"/>
      <c r="V1536" s="786"/>
      <c r="W1536" s="786"/>
      <c r="X1536" s="786"/>
      <c r="Y1536" s="786"/>
      <c r="Z1536" s="786"/>
      <c r="AA1536" s="786"/>
      <c r="AB1536" s="786"/>
      <c r="AC1536" s="786"/>
      <c r="AD1536" s="786"/>
      <c r="AE1536" s="786"/>
      <c r="AF1536" s="786"/>
      <c r="AG1536" s="786"/>
    </row>
    <row r="1537" spans="3:33" hidden="1">
      <c r="C1537" s="812" t="s">
        <v>1254</v>
      </c>
      <c r="D1537" s="813"/>
      <c r="E1537" s="813"/>
      <c r="F1537" s="813"/>
      <c r="G1537" s="813"/>
      <c r="H1537" s="813"/>
      <c r="I1537" s="813"/>
      <c r="J1537" s="813"/>
      <c r="K1537" s="813"/>
      <c r="L1537" s="814"/>
      <c r="M1537" s="786"/>
      <c r="N1537" s="786"/>
      <c r="O1537" s="786"/>
      <c r="P1537" s="786"/>
      <c r="Q1537" s="786"/>
      <c r="R1537" s="786"/>
      <c r="S1537" s="786"/>
      <c r="T1537" s="786"/>
      <c r="U1537" s="786"/>
      <c r="V1537" s="786"/>
      <c r="W1537" s="786"/>
      <c r="X1537" s="786"/>
      <c r="Y1537" s="786"/>
      <c r="Z1537" s="786"/>
      <c r="AA1537" s="786"/>
      <c r="AB1537" s="786"/>
      <c r="AC1537" s="786"/>
      <c r="AD1537" s="786"/>
      <c r="AE1537" s="786"/>
      <c r="AF1537" s="786"/>
      <c r="AG1537" s="786"/>
    </row>
    <row r="1538" spans="3:33" hidden="1">
      <c r="C1538" s="812" t="s">
        <v>1255</v>
      </c>
      <c r="D1538" s="813"/>
      <c r="E1538" s="813"/>
      <c r="F1538" s="813"/>
      <c r="G1538" s="813"/>
      <c r="H1538" s="813"/>
      <c r="I1538" s="813"/>
      <c r="J1538" s="813"/>
      <c r="K1538" s="813"/>
      <c r="L1538" s="814"/>
      <c r="M1538" s="786"/>
      <c r="N1538" s="786"/>
      <c r="O1538" s="786"/>
      <c r="P1538" s="786"/>
      <c r="Q1538" s="786"/>
      <c r="R1538" s="786"/>
      <c r="S1538" s="786"/>
      <c r="T1538" s="786"/>
      <c r="U1538" s="786"/>
      <c r="V1538" s="786"/>
      <c r="W1538" s="786"/>
      <c r="X1538" s="786"/>
      <c r="Y1538" s="786"/>
      <c r="Z1538" s="786"/>
      <c r="AA1538" s="786"/>
      <c r="AB1538" s="786"/>
      <c r="AC1538" s="786"/>
      <c r="AD1538" s="786"/>
      <c r="AE1538" s="786"/>
      <c r="AF1538" s="786"/>
      <c r="AG1538" s="786"/>
    </row>
    <row r="1539" spans="3:33" hidden="1">
      <c r="C1539" s="812"/>
      <c r="D1539" s="813"/>
      <c r="E1539" s="813"/>
      <c r="F1539" s="813"/>
      <c r="G1539" s="813"/>
      <c r="H1539" s="813"/>
      <c r="I1539" s="813"/>
      <c r="J1539" s="813"/>
      <c r="K1539" s="813"/>
      <c r="L1539" s="814"/>
      <c r="M1539" s="786"/>
      <c r="N1539" s="786"/>
      <c r="O1539" s="786"/>
      <c r="P1539" s="786"/>
      <c r="Q1539" s="786"/>
      <c r="R1539" s="786"/>
      <c r="S1539" s="786"/>
      <c r="T1539" s="786"/>
      <c r="U1539" s="786"/>
      <c r="V1539" s="786"/>
      <c r="W1539" s="786"/>
      <c r="X1539" s="786"/>
      <c r="Y1539" s="786"/>
      <c r="Z1539" s="786"/>
      <c r="AA1539" s="786"/>
      <c r="AB1539" s="786"/>
      <c r="AC1539" s="786"/>
      <c r="AD1539" s="786"/>
      <c r="AE1539" s="786"/>
      <c r="AF1539" s="786"/>
      <c r="AG1539" s="786"/>
    </row>
    <row r="1540" spans="3:33" hidden="1">
      <c r="C1540" s="895" t="s">
        <v>1256</v>
      </c>
      <c r="D1540" s="896"/>
      <c r="E1540" s="896"/>
      <c r="F1540" s="896"/>
      <c r="G1540" s="896"/>
      <c r="H1540" s="896"/>
      <c r="I1540" s="896"/>
      <c r="J1540" s="896"/>
      <c r="K1540" s="896"/>
      <c r="L1540" s="897"/>
      <c r="M1540" s="786"/>
      <c r="N1540" s="786"/>
      <c r="O1540" s="786"/>
      <c r="P1540" s="786"/>
      <c r="Q1540" s="786"/>
      <c r="R1540" s="786"/>
      <c r="S1540" s="786"/>
      <c r="T1540" s="786"/>
      <c r="U1540" s="786"/>
      <c r="V1540" s="786"/>
      <c r="W1540" s="786"/>
      <c r="X1540" s="786"/>
      <c r="Y1540" s="786"/>
      <c r="Z1540" s="786"/>
      <c r="AA1540" s="786"/>
      <c r="AB1540" s="786"/>
      <c r="AC1540" s="786"/>
      <c r="AD1540" s="786"/>
      <c r="AE1540" s="786"/>
      <c r="AF1540" s="786"/>
      <c r="AG1540" s="786"/>
    </row>
    <row r="1541" spans="3:33" hidden="1"/>
    <row r="1542" spans="3:33" hidden="1">
      <c r="C1542" t="s">
        <v>1257</v>
      </c>
    </row>
    <row r="1543" spans="3:33" hidden="1"/>
    <row r="1544" spans="3:33" hidden="1">
      <c r="C1544" s="485" t="s">
        <v>1226</v>
      </c>
      <c r="D1544" s="786" t="s">
        <v>1258</v>
      </c>
      <c r="E1544" s="786"/>
      <c r="F1544" s="786"/>
      <c r="G1544" s="786"/>
      <c r="H1544" s="786"/>
      <c r="I1544" s="786"/>
      <c r="J1544" s="786"/>
      <c r="K1544" s="786"/>
      <c r="L1544" s="786"/>
      <c r="M1544" s="786" t="s">
        <v>1179</v>
      </c>
      <c r="N1544" s="786"/>
      <c r="O1544" s="786"/>
      <c r="P1544" s="786" t="s">
        <v>1182</v>
      </c>
      <c r="Q1544" s="786"/>
      <c r="R1544" s="786"/>
      <c r="S1544" s="786" t="s">
        <v>1183</v>
      </c>
      <c r="T1544" s="786"/>
      <c r="U1544" s="786"/>
      <c r="V1544" s="786" t="s">
        <v>1184</v>
      </c>
      <c r="W1544" s="786"/>
      <c r="X1544" s="786"/>
      <c r="Y1544" s="786" t="s">
        <v>1185</v>
      </c>
      <c r="Z1544" s="786"/>
      <c r="AA1544" s="786"/>
      <c r="AB1544" s="786" t="s">
        <v>1186</v>
      </c>
      <c r="AC1544" s="786"/>
      <c r="AD1544" s="786"/>
      <c r="AE1544" s="786" t="s">
        <v>1187</v>
      </c>
      <c r="AF1544" s="786"/>
      <c r="AG1544" s="786"/>
    </row>
    <row r="1545" spans="3:33" hidden="1">
      <c r="C1545" s="485"/>
      <c r="D1545" s="807" t="s">
        <v>1259</v>
      </c>
      <c r="E1545" s="807"/>
      <c r="F1545" s="807"/>
      <c r="G1545" s="807"/>
      <c r="H1545" s="807"/>
      <c r="I1545" s="807"/>
      <c r="J1545" s="807"/>
      <c r="K1545" s="807"/>
      <c r="L1545" s="807"/>
      <c r="M1545" s="786"/>
      <c r="N1545" s="786"/>
      <c r="O1545" s="786"/>
      <c r="P1545" s="786"/>
      <c r="Q1545" s="786"/>
      <c r="R1545" s="786"/>
      <c r="S1545" s="786"/>
      <c r="T1545" s="786"/>
      <c r="U1545" s="786"/>
      <c r="V1545" s="786"/>
      <c r="W1545" s="786"/>
      <c r="X1545" s="786"/>
      <c r="Y1545" s="786"/>
      <c r="Z1545" s="786"/>
      <c r="AA1545" s="786"/>
      <c r="AB1545" s="786"/>
      <c r="AC1545" s="786"/>
      <c r="AD1545" s="786"/>
      <c r="AE1545" s="786"/>
      <c r="AF1545" s="786"/>
      <c r="AG1545" s="786"/>
    </row>
    <row r="1546" spans="3:33" hidden="1">
      <c r="C1546" s="485"/>
      <c r="D1546" s="807"/>
      <c r="E1546" s="807"/>
      <c r="F1546" s="807"/>
      <c r="G1546" s="807"/>
      <c r="H1546" s="807"/>
      <c r="I1546" s="807"/>
      <c r="J1546" s="807"/>
      <c r="K1546" s="807"/>
      <c r="L1546" s="807"/>
      <c r="M1546" s="786"/>
      <c r="N1546" s="786"/>
      <c r="O1546" s="786"/>
      <c r="P1546" s="786"/>
      <c r="Q1546" s="786"/>
      <c r="R1546" s="786"/>
      <c r="S1546" s="786"/>
      <c r="T1546" s="786"/>
      <c r="U1546" s="786"/>
      <c r="V1546" s="786"/>
      <c r="W1546" s="786"/>
      <c r="X1546" s="786"/>
      <c r="Y1546" s="786"/>
      <c r="Z1546" s="786"/>
      <c r="AA1546" s="786"/>
      <c r="AB1546" s="786"/>
      <c r="AC1546" s="786"/>
      <c r="AD1546" s="786"/>
      <c r="AE1546" s="786"/>
      <c r="AF1546" s="786"/>
      <c r="AG1546" s="786"/>
    </row>
    <row r="1547" spans="3:33" hidden="1">
      <c r="C1547" s="485"/>
      <c r="D1547" s="807"/>
      <c r="E1547" s="807"/>
      <c r="F1547" s="807"/>
      <c r="G1547" s="807"/>
      <c r="H1547" s="807"/>
      <c r="I1547" s="807"/>
      <c r="J1547" s="807"/>
      <c r="K1547" s="807"/>
      <c r="L1547" s="807"/>
      <c r="M1547" s="786"/>
      <c r="N1547" s="786"/>
      <c r="O1547" s="786"/>
      <c r="P1547" s="786"/>
      <c r="Q1547" s="786"/>
      <c r="R1547" s="786"/>
      <c r="S1547" s="786"/>
      <c r="T1547" s="786"/>
      <c r="U1547" s="786"/>
      <c r="V1547" s="786"/>
      <c r="W1547" s="786"/>
      <c r="X1547" s="786"/>
      <c r="Y1547" s="786"/>
      <c r="Z1547" s="786"/>
      <c r="AA1547" s="786"/>
      <c r="AB1547" s="786"/>
      <c r="AC1547" s="786"/>
      <c r="AD1547" s="786"/>
      <c r="AE1547" s="786"/>
      <c r="AF1547" s="786"/>
      <c r="AG1547" s="786"/>
    </row>
    <row r="1548" spans="3:33" ht="32.25" hidden="1" customHeight="1">
      <c r="C1548" s="485"/>
      <c r="D1548" s="788" t="s">
        <v>1260</v>
      </c>
      <c r="E1548" s="788"/>
      <c r="F1548" s="788"/>
      <c r="G1548" s="788"/>
      <c r="H1548" s="788"/>
      <c r="I1548" s="788"/>
      <c r="J1548" s="788"/>
      <c r="K1548" s="788"/>
      <c r="L1548" s="788"/>
      <c r="M1548" s="786"/>
      <c r="N1548" s="786"/>
      <c r="O1548" s="786"/>
      <c r="P1548" s="786"/>
      <c r="Q1548" s="786"/>
      <c r="R1548" s="786"/>
      <c r="S1548" s="786"/>
      <c r="T1548" s="786"/>
      <c r="U1548" s="786"/>
      <c r="V1548" s="786"/>
      <c r="W1548" s="786"/>
      <c r="X1548" s="786"/>
      <c r="Y1548" s="786"/>
      <c r="Z1548" s="786"/>
      <c r="AA1548" s="786"/>
      <c r="AB1548" s="786"/>
      <c r="AC1548" s="786"/>
      <c r="AD1548" s="786"/>
      <c r="AE1548" s="786"/>
      <c r="AF1548" s="786"/>
      <c r="AG1548" s="786"/>
    </row>
    <row r="1549" spans="3:33" ht="32.25" hidden="1" customHeight="1">
      <c r="C1549" s="485"/>
      <c r="D1549" s="788" t="s">
        <v>1261</v>
      </c>
      <c r="E1549" s="788"/>
      <c r="F1549" s="788"/>
      <c r="G1549" s="788"/>
      <c r="H1549" s="788"/>
      <c r="I1549" s="788"/>
      <c r="J1549" s="788"/>
      <c r="K1549" s="788"/>
      <c r="L1549" s="788"/>
      <c r="M1549" s="786"/>
      <c r="N1549" s="786"/>
      <c r="O1549" s="786"/>
      <c r="P1549" s="786"/>
      <c r="Q1549" s="786"/>
      <c r="R1549" s="786"/>
      <c r="S1549" s="786"/>
      <c r="T1549" s="786"/>
      <c r="U1549" s="786"/>
      <c r="V1549" s="786"/>
      <c r="W1549" s="786"/>
      <c r="X1549" s="786"/>
      <c r="Y1549" s="786"/>
      <c r="Z1549" s="786"/>
      <c r="AA1549" s="786"/>
      <c r="AB1549" s="786"/>
      <c r="AC1549" s="786"/>
      <c r="AD1549" s="786"/>
      <c r="AE1549" s="786"/>
      <c r="AF1549" s="786"/>
      <c r="AG1549" s="786"/>
    </row>
    <row r="1550" spans="3:33" ht="32.25" hidden="1" customHeight="1">
      <c r="C1550" s="485"/>
      <c r="D1550" s="788" t="s">
        <v>1262</v>
      </c>
      <c r="E1550" s="788"/>
      <c r="F1550" s="788"/>
      <c r="G1550" s="788"/>
      <c r="H1550" s="788"/>
      <c r="I1550" s="788"/>
      <c r="J1550" s="788"/>
      <c r="K1550" s="788"/>
      <c r="L1550" s="788"/>
      <c r="M1550" s="786"/>
      <c r="N1550" s="786"/>
      <c r="O1550" s="786"/>
      <c r="P1550" s="786"/>
      <c r="Q1550" s="786"/>
      <c r="R1550" s="786"/>
      <c r="S1550" s="786"/>
      <c r="T1550" s="786"/>
      <c r="U1550" s="786"/>
      <c r="V1550" s="786"/>
      <c r="W1550" s="786"/>
      <c r="X1550" s="786"/>
      <c r="Y1550" s="786"/>
      <c r="Z1550" s="786"/>
      <c r="AA1550" s="786"/>
      <c r="AB1550" s="786"/>
      <c r="AC1550" s="786"/>
      <c r="AD1550" s="786"/>
      <c r="AE1550" s="786"/>
      <c r="AF1550" s="786"/>
      <c r="AG1550" s="786"/>
    </row>
    <row r="1551" spans="3:33" ht="32.25" hidden="1" customHeight="1">
      <c r="C1551" s="485"/>
      <c r="D1551" s="788" t="s">
        <v>1263</v>
      </c>
      <c r="E1551" s="788"/>
      <c r="F1551" s="788"/>
      <c r="G1551" s="788"/>
      <c r="H1551" s="788"/>
      <c r="I1551" s="788"/>
      <c r="J1551" s="788"/>
      <c r="K1551" s="788"/>
      <c r="L1551" s="788"/>
      <c r="M1551" s="786"/>
      <c r="N1551" s="786"/>
      <c r="O1551" s="786"/>
      <c r="P1551" s="786"/>
      <c r="Q1551" s="786"/>
      <c r="R1551" s="786"/>
      <c r="S1551" s="786"/>
      <c r="T1551" s="786"/>
      <c r="U1551" s="786"/>
      <c r="V1551" s="786"/>
      <c r="W1551" s="786"/>
      <c r="X1551" s="786"/>
      <c r="Y1551" s="786"/>
      <c r="Z1551" s="786"/>
      <c r="AA1551" s="786"/>
      <c r="AB1551" s="786"/>
      <c r="AC1551" s="786"/>
      <c r="AD1551" s="786"/>
      <c r="AE1551" s="786"/>
      <c r="AF1551" s="786"/>
      <c r="AG1551" s="786"/>
    </row>
    <row r="1552" spans="3:33" ht="32.25" hidden="1" customHeight="1">
      <c r="C1552" s="485"/>
      <c r="D1552" s="788"/>
      <c r="E1552" s="788"/>
      <c r="F1552" s="788"/>
      <c r="G1552" s="788"/>
      <c r="H1552" s="788"/>
      <c r="I1552" s="788"/>
      <c r="J1552" s="788"/>
      <c r="K1552" s="788"/>
      <c r="L1552" s="788"/>
      <c r="M1552" s="786"/>
      <c r="N1552" s="786"/>
      <c r="O1552" s="786"/>
      <c r="P1552" s="786"/>
      <c r="Q1552" s="786"/>
      <c r="R1552" s="786"/>
      <c r="S1552" s="786"/>
      <c r="T1552" s="786"/>
      <c r="U1552" s="786"/>
      <c r="V1552" s="786"/>
      <c r="W1552" s="786"/>
      <c r="X1552" s="786"/>
      <c r="Y1552" s="786"/>
      <c r="Z1552" s="786"/>
      <c r="AA1552" s="786"/>
      <c r="AB1552" s="786"/>
      <c r="AC1552" s="786"/>
      <c r="AD1552" s="786"/>
      <c r="AE1552" s="786"/>
      <c r="AF1552" s="786"/>
      <c r="AG1552" s="786"/>
    </row>
    <row r="1553" spans="3:33" ht="32.25" hidden="1" customHeight="1">
      <c r="C1553" s="485"/>
      <c r="D1553" s="788" t="s">
        <v>1264</v>
      </c>
      <c r="E1553" s="788"/>
      <c r="F1553" s="788"/>
      <c r="G1553" s="788"/>
      <c r="H1553" s="788"/>
      <c r="I1553" s="788"/>
      <c r="J1553" s="788"/>
      <c r="K1553" s="788"/>
      <c r="L1553" s="788"/>
      <c r="M1553" s="786"/>
      <c r="N1553" s="786"/>
      <c r="O1553" s="786"/>
      <c r="P1553" s="786"/>
      <c r="Q1553" s="786"/>
      <c r="R1553" s="786"/>
      <c r="S1553" s="786"/>
      <c r="T1553" s="786"/>
      <c r="U1553" s="786"/>
      <c r="V1553" s="786"/>
      <c r="W1553" s="786"/>
      <c r="X1553" s="786"/>
      <c r="Y1553" s="786"/>
      <c r="Z1553" s="786"/>
      <c r="AA1553" s="786"/>
      <c r="AB1553" s="786"/>
      <c r="AC1553" s="786"/>
      <c r="AD1553" s="786"/>
      <c r="AE1553" s="786"/>
      <c r="AF1553" s="786"/>
      <c r="AG1553" s="786"/>
    </row>
    <row r="1554" spans="3:33" ht="32.25" hidden="1" customHeight="1">
      <c r="C1554" s="485"/>
      <c r="D1554" s="788"/>
      <c r="E1554" s="788"/>
      <c r="F1554" s="788"/>
      <c r="G1554" s="788"/>
      <c r="H1554" s="788"/>
      <c r="I1554" s="788"/>
      <c r="J1554" s="788"/>
      <c r="K1554" s="788"/>
      <c r="L1554" s="788"/>
      <c r="M1554" s="786"/>
      <c r="N1554" s="786"/>
      <c r="O1554" s="786"/>
      <c r="P1554" s="786"/>
      <c r="Q1554" s="786"/>
      <c r="R1554" s="786"/>
      <c r="S1554" s="786"/>
      <c r="T1554" s="786"/>
      <c r="U1554" s="786"/>
      <c r="V1554" s="786"/>
      <c r="W1554" s="786"/>
      <c r="X1554" s="786"/>
      <c r="Y1554" s="786"/>
      <c r="Z1554" s="786"/>
      <c r="AA1554" s="786"/>
      <c r="AB1554" s="786"/>
      <c r="AC1554" s="786"/>
      <c r="AD1554" s="786"/>
      <c r="AE1554" s="786"/>
      <c r="AF1554" s="786"/>
      <c r="AG1554" s="786"/>
    </row>
    <row r="1555" spans="3:33" ht="32.25" hidden="1" customHeight="1">
      <c r="C1555" s="485"/>
      <c r="D1555" s="788" t="s">
        <v>1265</v>
      </c>
      <c r="E1555" s="788"/>
      <c r="F1555" s="788"/>
      <c r="G1555" s="788"/>
      <c r="H1555" s="788"/>
      <c r="I1555" s="788"/>
      <c r="J1555" s="788"/>
      <c r="K1555" s="788"/>
      <c r="L1555" s="788"/>
      <c r="M1555" s="786"/>
      <c r="N1555" s="786"/>
      <c r="O1555" s="786"/>
      <c r="P1555" s="786"/>
      <c r="Q1555" s="786"/>
      <c r="R1555" s="786"/>
      <c r="S1555" s="786"/>
      <c r="T1555" s="786"/>
      <c r="U1555" s="786"/>
      <c r="V1555" s="786"/>
      <c r="W1555" s="786"/>
      <c r="X1555" s="786"/>
      <c r="Y1555" s="786"/>
      <c r="Z1555" s="786"/>
      <c r="AA1555" s="786"/>
      <c r="AB1555" s="786"/>
      <c r="AC1555" s="786"/>
      <c r="AD1555" s="786"/>
      <c r="AE1555" s="786"/>
      <c r="AF1555" s="786"/>
      <c r="AG1555" s="786"/>
    </row>
    <row r="1556" spans="3:33" ht="32.25" hidden="1" customHeight="1">
      <c r="C1556" s="485"/>
      <c r="D1556" s="788" t="s">
        <v>1266</v>
      </c>
      <c r="E1556" s="788"/>
      <c r="F1556" s="788"/>
      <c r="G1556" s="788"/>
      <c r="H1556" s="788"/>
      <c r="I1556" s="788"/>
      <c r="J1556" s="788"/>
      <c r="K1556" s="788"/>
      <c r="L1556" s="788"/>
      <c r="M1556" s="786"/>
      <c r="N1556" s="786"/>
      <c r="O1556" s="786"/>
      <c r="P1556" s="786"/>
      <c r="Q1556" s="786"/>
      <c r="R1556" s="786"/>
      <c r="S1556" s="786"/>
      <c r="T1556" s="786"/>
      <c r="U1556" s="786"/>
      <c r="V1556" s="786"/>
      <c r="W1556" s="786"/>
      <c r="X1556" s="786"/>
      <c r="Y1556" s="786"/>
      <c r="Z1556" s="786"/>
      <c r="AA1556" s="786"/>
      <c r="AB1556" s="786"/>
      <c r="AC1556" s="786"/>
      <c r="AD1556" s="786"/>
      <c r="AE1556" s="786"/>
      <c r="AF1556" s="786"/>
      <c r="AG1556" s="786"/>
    </row>
    <row r="1557" spans="3:33" hidden="1">
      <c r="C1557" s="485"/>
      <c r="D1557" s="788"/>
      <c r="E1557" s="788"/>
      <c r="F1557" s="788"/>
      <c r="G1557" s="788"/>
      <c r="H1557" s="788"/>
      <c r="I1557" s="788"/>
      <c r="J1557" s="788"/>
      <c r="K1557" s="788"/>
      <c r="L1557" s="788"/>
      <c r="M1557" s="786"/>
      <c r="N1557" s="786"/>
      <c r="O1557" s="786"/>
      <c r="P1557" s="786"/>
      <c r="Q1557" s="786"/>
      <c r="R1557" s="786"/>
      <c r="S1557" s="786"/>
      <c r="T1557" s="786"/>
      <c r="U1557" s="786"/>
      <c r="V1557" s="786"/>
      <c r="W1557" s="786"/>
      <c r="X1557" s="786"/>
      <c r="Y1557" s="786"/>
      <c r="Z1557" s="786"/>
      <c r="AA1557" s="786"/>
      <c r="AB1557" s="786"/>
      <c r="AC1557" s="786"/>
      <c r="AD1557" s="786"/>
      <c r="AE1557" s="786"/>
      <c r="AF1557" s="786"/>
      <c r="AG1557" s="786"/>
    </row>
    <row r="1558" spans="3:33" hidden="1">
      <c r="C1558" s="485"/>
      <c r="D1558" s="807"/>
      <c r="E1558" s="807"/>
      <c r="F1558" s="807"/>
      <c r="G1558" s="807"/>
      <c r="H1558" s="807"/>
      <c r="I1558" s="807"/>
      <c r="J1558" s="807"/>
      <c r="K1558" s="807"/>
      <c r="L1558" s="807"/>
      <c r="M1558" s="786"/>
      <c r="N1558" s="786"/>
      <c r="O1558" s="786"/>
      <c r="P1558" s="786"/>
      <c r="Q1558" s="786"/>
      <c r="R1558" s="786"/>
      <c r="S1558" s="786"/>
      <c r="T1558" s="786"/>
      <c r="U1558" s="786"/>
      <c r="V1558" s="786"/>
      <c r="W1558" s="786"/>
      <c r="X1558" s="786"/>
      <c r="Y1558" s="786"/>
      <c r="Z1558" s="786"/>
      <c r="AA1558" s="786"/>
      <c r="AB1558" s="786"/>
      <c r="AC1558" s="786"/>
      <c r="AD1558" s="786"/>
      <c r="AE1558" s="786"/>
      <c r="AF1558" s="786"/>
      <c r="AG1558" s="786"/>
    </row>
    <row r="1559" spans="3:33" hidden="1">
      <c r="C1559" s="485"/>
      <c r="D1559" s="807"/>
      <c r="E1559" s="807"/>
      <c r="F1559" s="807"/>
      <c r="G1559" s="807"/>
      <c r="H1559" s="807"/>
      <c r="I1559" s="807"/>
      <c r="J1559" s="807"/>
      <c r="K1559" s="807"/>
      <c r="L1559" s="807"/>
      <c r="M1559" s="786"/>
      <c r="N1559" s="786"/>
      <c r="O1559" s="786"/>
      <c r="P1559" s="786"/>
      <c r="Q1559" s="786"/>
      <c r="R1559" s="786"/>
      <c r="S1559" s="786"/>
      <c r="T1559" s="786"/>
      <c r="U1559" s="786"/>
      <c r="V1559" s="786"/>
      <c r="W1559" s="786"/>
      <c r="X1559" s="786"/>
      <c r="Y1559" s="786"/>
      <c r="Z1559" s="786"/>
      <c r="AA1559" s="786"/>
      <c r="AB1559" s="786"/>
      <c r="AC1559" s="786"/>
      <c r="AD1559" s="786"/>
      <c r="AE1559" s="786"/>
      <c r="AF1559" s="786"/>
      <c r="AG1559" s="786"/>
    </row>
    <row r="1560" spans="3:33" ht="30" hidden="1" customHeight="1">
      <c r="C1560" s="485"/>
      <c r="D1560" s="807" t="s">
        <v>1267</v>
      </c>
      <c r="E1560" s="807"/>
      <c r="F1560" s="807"/>
      <c r="G1560" s="807"/>
      <c r="H1560" s="807"/>
      <c r="I1560" s="807"/>
      <c r="J1560" s="807"/>
      <c r="K1560" s="807"/>
      <c r="L1560" s="807"/>
      <c r="M1560" s="786"/>
      <c r="N1560" s="786"/>
      <c r="O1560" s="786"/>
      <c r="P1560" s="786"/>
      <c r="Q1560" s="786"/>
      <c r="R1560" s="786"/>
      <c r="S1560" s="786"/>
      <c r="T1560" s="786"/>
      <c r="U1560" s="786"/>
      <c r="V1560" s="786"/>
      <c r="W1560" s="786"/>
      <c r="X1560" s="786"/>
      <c r="Y1560" s="786"/>
      <c r="Z1560" s="786"/>
      <c r="AA1560" s="786"/>
      <c r="AB1560" s="786"/>
      <c r="AC1560" s="786"/>
      <c r="AD1560" s="786"/>
      <c r="AE1560" s="786"/>
      <c r="AF1560" s="786"/>
      <c r="AG1560" s="786"/>
    </row>
    <row r="1561" spans="3:33" ht="30" hidden="1" customHeight="1">
      <c r="C1561" s="485"/>
      <c r="D1561" s="807" t="s">
        <v>1268</v>
      </c>
      <c r="E1561" s="807"/>
      <c r="F1561" s="807"/>
      <c r="G1561" s="807"/>
      <c r="H1561" s="807"/>
      <c r="I1561" s="807"/>
      <c r="J1561" s="807"/>
      <c r="K1561" s="807"/>
      <c r="L1561" s="807"/>
      <c r="M1561" s="786"/>
      <c r="N1561" s="786"/>
      <c r="O1561" s="786"/>
      <c r="P1561" s="786"/>
      <c r="Q1561" s="786"/>
      <c r="R1561" s="786"/>
      <c r="S1561" s="786"/>
      <c r="T1561" s="786"/>
      <c r="U1561" s="786"/>
      <c r="V1561" s="786"/>
      <c r="W1561" s="786"/>
      <c r="X1561" s="786"/>
      <c r="Y1561" s="786"/>
      <c r="Z1561" s="786"/>
      <c r="AA1561" s="786"/>
      <c r="AB1561" s="786"/>
      <c r="AC1561" s="786"/>
      <c r="AD1561" s="786"/>
      <c r="AE1561" s="786"/>
      <c r="AF1561" s="786"/>
      <c r="AG1561" s="786"/>
    </row>
    <row r="1562" spans="3:33" ht="30" hidden="1" customHeight="1">
      <c r="C1562" s="485"/>
      <c r="D1562" s="807" t="s">
        <v>1269</v>
      </c>
      <c r="E1562" s="807"/>
      <c r="F1562" s="807"/>
      <c r="G1562" s="807"/>
      <c r="H1562" s="807"/>
      <c r="I1562" s="807"/>
      <c r="J1562" s="807"/>
      <c r="K1562" s="807"/>
      <c r="L1562" s="807"/>
      <c r="M1562" s="786"/>
      <c r="N1562" s="786"/>
      <c r="O1562" s="786"/>
      <c r="P1562" s="786"/>
      <c r="Q1562" s="786"/>
      <c r="R1562" s="786"/>
      <c r="S1562" s="786"/>
      <c r="T1562" s="786"/>
      <c r="U1562" s="786"/>
      <c r="V1562" s="786"/>
      <c r="W1562" s="786"/>
      <c r="X1562" s="786"/>
      <c r="Y1562" s="786"/>
      <c r="Z1562" s="786"/>
      <c r="AA1562" s="786"/>
      <c r="AB1562" s="786"/>
      <c r="AC1562" s="786"/>
      <c r="AD1562" s="786"/>
      <c r="AE1562" s="786"/>
      <c r="AF1562" s="786"/>
      <c r="AG1562" s="786"/>
    </row>
    <row r="1563" spans="3:33" ht="30" hidden="1" customHeight="1">
      <c r="C1563" s="485"/>
      <c r="D1563" s="807" t="s">
        <v>1270</v>
      </c>
      <c r="E1563" s="807"/>
      <c r="F1563" s="807"/>
      <c r="G1563" s="807"/>
      <c r="H1563" s="807"/>
      <c r="I1563" s="807"/>
      <c r="J1563" s="807"/>
      <c r="K1563" s="807"/>
      <c r="L1563" s="807"/>
      <c r="M1563" s="786"/>
      <c r="N1563" s="786"/>
      <c r="O1563" s="786"/>
      <c r="P1563" s="786"/>
      <c r="Q1563" s="786"/>
      <c r="R1563" s="786"/>
      <c r="S1563" s="786"/>
      <c r="T1563" s="786"/>
      <c r="U1563" s="786"/>
      <c r="V1563" s="786"/>
      <c r="W1563" s="786"/>
      <c r="X1563" s="786"/>
      <c r="Y1563" s="786"/>
      <c r="Z1563" s="786"/>
      <c r="AA1563" s="786"/>
      <c r="AB1563" s="786"/>
      <c r="AC1563" s="786"/>
      <c r="AD1563" s="786"/>
      <c r="AE1563" s="786"/>
      <c r="AF1563" s="786"/>
      <c r="AG1563" s="786"/>
    </row>
    <row r="1564" spans="3:33" ht="30" hidden="1" customHeight="1">
      <c r="C1564" s="485"/>
      <c r="D1564" s="807" t="s">
        <v>1271</v>
      </c>
      <c r="E1564" s="807"/>
      <c r="F1564" s="807"/>
      <c r="G1564" s="807"/>
      <c r="H1564" s="807"/>
      <c r="I1564" s="807"/>
      <c r="J1564" s="807"/>
      <c r="K1564" s="807"/>
      <c r="L1564" s="807"/>
      <c r="M1564" s="786"/>
      <c r="N1564" s="786"/>
      <c r="O1564" s="786"/>
      <c r="P1564" s="786"/>
      <c r="Q1564" s="786"/>
      <c r="R1564" s="786"/>
      <c r="S1564" s="786"/>
      <c r="T1564" s="786"/>
      <c r="U1564" s="786"/>
      <c r="V1564" s="786"/>
      <c r="W1564" s="786"/>
      <c r="X1564" s="786"/>
      <c r="Y1564" s="786"/>
      <c r="Z1564" s="786"/>
      <c r="AA1564" s="786"/>
      <c r="AB1564" s="786"/>
      <c r="AC1564" s="786"/>
      <c r="AD1564" s="786"/>
      <c r="AE1564" s="786"/>
      <c r="AF1564" s="786"/>
      <c r="AG1564" s="786"/>
    </row>
    <row r="1565" spans="3:33" ht="30" hidden="1" customHeight="1">
      <c r="C1565" s="485"/>
      <c r="D1565" s="807" t="s">
        <v>1272</v>
      </c>
      <c r="E1565" s="807"/>
      <c r="F1565" s="807"/>
      <c r="G1565" s="807"/>
      <c r="H1565" s="807"/>
      <c r="I1565" s="807"/>
      <c r="J1565" s="807"/>
      <c r="K1565" s="807"/>
      <c r="L1565" s="807"/>
      <c r="M1565" s="786"/>
      <c r="N1565" s="786"/>
      <c r="O1565" s="786"/>
      <c r="P1565" s="786"/>
      <c r="Q1565" s="786"/>
      <c r="R1565" s="786"/>
      <c r="S1565" s="786"/>
      <c r="T1565" s="786"/>
      <c r="U1565" s="786"/>
      <c r="V1565" s="786"/>
      <c r="W1565" s="786"/>
      <c r="X1565" s="786"/>
      <c r="Y1565" s="786"/>
      <c r="Z1565" s="786"/>
      <c r="AA1565" s="786"/>
      <c r="AB1565" s="786"/>
      <c r="AC1565" s="786"/>
      <c r="AD1565" s="786"/>
      <c r="AE1565" s="786"/>
      <c r="AF1565" s="786"/>
      <c r="AG1565" s="786"/>
    </row>
    <row r="1566" spans="3:33" ht="30" hidden="1" customHeight="1">
      <c r="C1566" s="485"/>
      <c r="D1566" s="807"/>
      <c r="E1566" s="807"/>
      <c r="F1566" s="807"/>
      <c r="G1566" s="807"/>
      <c r="H1566" s="807"/>
      <c r="I1566" s="807"/>
      <c r="J1566" s="807"/>
      <c r="K1566" s="807"/>
      <c r="L1566" s="807"/>
      <c r="M1566" s="786"/>
      <c r="N1566" s="786"/>
      <c r="O1566" s="786"/>
      <c r="P1566" s="786"/>
      <c r="Q1566" s="786"/>
      <c r="R1566" s="786"/>
      <c r="S1566" s="786"/>
      <c r="T1566" s="786"/>
      <c r="U1566" s="786"/>
      <c r="V1566" s="786"/>
      <c r="W1566" s="786"/>
      <c r="X1566" s="786"/>
      <c r="Y1566" s="786"/>
      <c r="Z1566" s="786"/>
      <c r="AA1566" s="786"/>
      <c r="AB1566" s="786"/>
      <c r="AC1566" s="786"/>
      <c r="AD1566" s="786"/>
      <c r="AE1566" s="786"/>
      <c r="AF1566" s="786"/>
      <c r="AG1566" s="786"/>
    </row>
    <row r="1567" spans="3:33" hidden="1">
      <c r="C1567" s="485"/>
      <c r="D1567" s="786"/>
      <c r="E1567" s="786"/>
      <c r="F1567" s="786"/>
      <c r="G1567" s="786"/>
      <c r="H1567" s="786"/>
      <c r="I1567" s="786"/>
      <c r="J1567" s="786"/>
      <c r="K1567" s="786"/>
      <c r="L1567" s="786"/>
      <c r="M1567" s="786"/>
      <c r="N1567" s="786"/>
      <c r="O1567" s="786"/>
      <c r="P1567" s="786"/>
      <c r="Q1567" s="786"/>
      <c r="R1567" s="786"/>
      <c r="S1567" s="786"/>
      <c r="T1567" s="786"/>
      <c r="U1567" s="786"/>
      <c r="V1567" s="786"/>
      <c r="W1567" s="786"/>
      <c r="X1567" s="786"/>
      <c r="Y1567" s="786"/>
      <c r="Z1567" s="786"/>
      <c r="AA1567" s="786"/>
      <c r="AB1567" s="786"/>
      <c r="AC1567" s="786"/>
      <c r="AD1567" s="786"/>
      <c r="AE1567" s="786"/>
      <c r="AF1567" s="786"/>
      <c r="AG1567" s="786"/>
    </row>
    <row r="1568" spans="3:33" hidden="1">
      <c r="C1568" s="485"/>
      <c r="D1568" s="786" t="s">
        <v>1273</v>
      </c>
      <c r="E1568" s="786"/>
      <c r="F1568" s="786"/>
      <c r="G1568" s="786"/>
      <c r="H1568" s="786"/>
      <c r="I1568" s="786"/>
      <c r="J1568" s="786"/>
      <c r="K1568" s="786"/>
      <c r="L1568" s="786"/>
      <c r="M1568" s="786"/>
      <c r="N1568" s="786"/>
      <c r="O1568" s="786"/>
      <c r="P1568" s="786"/>
      <c r="Q1568" s="786"/>
      <c r="R1568" s="786"/>
      <c r="S1568" s="786"/>
      <c r="T1568" s="786"/>
      <c r="U1568" s="786"/>
      <c r="V1568" s="786"/>
      <c r="W1568" s="786"/>
      <c r="X1568" s="786"/>
      <c r="Y1568" s="786"/>
      <c r="Z1568" s="786"/>
      <c r="AA1568" s="786"/>
      <c r="AB1568" s="786"/>
      <c r="AC1568" s="786"/>
      <c r="AD1568" s="786"/>
      <c r="AE1568" s="786"/>
      <c r="AF1568" s="786"/>
      <c r="AG1568" s="786"/>
    </row>
    <row r="1569" spans="3:33" hidden="1">
      <c r="C1569" s="485"/>
      <c r="D1569" s="786" t="s">
        <v>1274</v>
      </c>
      <c r="E1569" s="786"/>
      <c r="F1569" s="786"/>
      <c r="G1569" s="786"/>
      <c r="H1569" s="786"/>
      <c r="I1569" s="786"/>
      <c r="J1569" s="786"/>
      <c r="K1569" s="786"/>
      <c r="L1569" s="786"/>
      <c r="M1569" s="786"/>
      <c r="N1569" s="786"/>
      <c r="O1569" s="786"/>
      <c r="P1569" s="786"/>
      <c r="Q1569" s="786"/>
      <c r="R1569" s="786"/>
      <c r="S1569" s="786"/>
      <c r="T1569" s="786"/>
      <c r="U1569" s="786"/>
      <c r="V1569" s="786"/>
      <c r="W1569" s="786"/>
      <c r="X1569" s="786"/>
      <c r="Y1569" s="786"/>
      <c r="Z1569" s="786"/>
      <c r="AA1569" s="786"/>
      <c r="AB1569" s="786"/>
      <c r="AC1569" s="786"/>
      <c r="AD1569" s="786"/>
      <c r="AE1569" s="786"/>
      <c r="AF1569" s="786"/>
      <c r="AG1569" s="786"/>
    </row>
    <row r="1570" spans="3:33" hidden="1">
      <c r="C1570" s="485"/>
      <c r="D1570" s="786" t="s">
        <v>1275</v>
      </c>
      <c r="E1570" s="786"/>
      <c r="F1570" s="786"/>
      <c r="G1570" s="786"/>
      <c r="H1570" s="786"/>
      <c r="I1570" s="786"/>
      <c r="J1570" s="786"/>
      <c r="K1570" s="786"/>
      <c r="L1570" s="786"/>
      <c r="M1570" s="786"/>
      <c r="N1570" s="786"/>
      <c r="O1570" s="786"/>
      <c r="P1570" s="786"/>
      <c r="Q1570" s="786"/>
      <c r="R1570" s="786"/>
      <c r="S1570" s="786"/>
      <c r="T1570" s="786"/>
      <c r="U1570" s="786"/>
      <c r="V1570" s="786"/>
      <c r="W1570" s="786"/>
      <c r="X1570" s="786"/>
      <c r="Y1570" s="786"/>
      <c r="Z1570" s="786"/>
      <c r="AA1570" s="786"/>
      <c r="AB1570" s="786"/>
      <c r="AC1570" s="786"/>
      <c r="AD1570" s="786"/>
      <c r="AE1570" s="786"/>
      <c r="AF1570" s="786"/>
      <c r="AG1570" s="786"/>
    </row>
    <row r="1571" spans="3:33" hidden="1">
      <c r="C1571" s="485"/>
      <c r="D1571" s="786" t="s">
        <v>1276</v>
      </c>
      <c r="E1571" s="786"/>
      <c r="F1571" s="786"/>
      <c r="G1571" s="786"/>
      <c r="H1571" s="786"/>
      <c r="I1571" s="786"/>
      <c r="J1571" s="786"/>
      <c r="K1571" s="786"/>
      <c r="L1571" s="786"/>
      <c r="M1571" s="786"/>
      <c r="N1571" s="786"/>
      <c r="O1571" s="786"/>
      <c r="P1571" s="786"/>
      <c r="Q1571" s="786"/>
      <c r="R1571" s="786"/>
      <c r="S1571" s="786"/>
      <c r="T1571" s="786"/>
      <c r="U1571" s="786"/>
      <c r="V1571" s="786"/>
      <c r="W1571" s="786"/>
      <c r="X1571" s="786"/>
      <c r="Y1571" s="786"/>
      <c r="Z1571" s="786"/>
      <c r="AA1571" s="786"/>
      <c r="AB1571" s="786"/>
      <c r="AC1571" s="786"/>
      <c r="AD1571" s="786"/>
      <c r="AE1571" s="786"/>
      <c r="AF1571" s="786"/>
      <c r="AG1571" s="786"/>
    </row>
    <row r="1572" spans="3:33" hidden="1">
      <c r="C1572" s="485"/>
      <c r="D1572" s="786"/>
      <c r="E1572" s="786"/>
      <c r="F1572" s="786"/>
      <c r="G1572" s="786"/>
      <c r="H1572" s="786"/>
      <c r="I1572" s="786"/>
      <c r="J1572" s="786"/>
      <c r="K1572" s="786"/>
      <c r="L1572" s="786"/>
      <c r="M1572" s="786"/>
      <c r="N1572" s="786"/>
      <c r="O1572" s="786"/>
      <c r="P1572" s="786"/>
      <c r="Q1572" s="786"/>
      <c r="R1572" s="786"/>
      <c r="S1572" s="786"/>
      <c r="T1572" s="786"/>
      <c r="U1572" s="786"/>
      <c r="V1572" s="786"/>
      <c r="W1572" s="786"/>
      <c r="X1572" s="786"/>
      <c r="Y1572" s="786"/>
      <c r="Z1572" s="786"/>
      <c r="AA1572" s="786"/>
      <c r="AB1572" s="786"/>
      <c r="AC1572" s="786"/>
      <c r="AD1572" s="786"/>
      <c r="AE1572" s="786"/>
      <c r="AF1572" s="786"/>
      <c r="AG1572" s="786"/>
    </row>
    <row r="1573" spans="3:33" hidden="1"/>
    <row r="1574" spans="3:33" hidden="1">
      <c r="C1574" t="s">
        <v>1277</v>
      </c>
    </row>
    <row r="1575" spans="3:33" hidden="1"/>
    <row r="1576" spans="3:33" ht="30" hidden="1" customHeight="1">
      <c r="C1576" s="812" t="s">
        <v>1278</v>
      </c>
      <c r="D1576" s="813"/>
      <c r="E1576" s="813"/>
      <c r="F1576" s="813"/>
      <c r="G1576" s="813"/>
      <c r="H1576" s="813"/>
      <c r="I1576" s="813"/>
      <c r="J1576" s="813"/>
      <c r="K1576" s="813"/>
      <c r="L1576" s="814"/>
      <c r="M1576" s="786" t="s">
        <v>1179</v>
      </c>
      <c r="N1576" s="786"/>
      <c r="O1576" s="786"/>
      <c r="P1576" s="786" t="s">
        <v>1182</v>
      </c>
      <c r="Q1576" s="786"/>
      <c r="R1576" s="786"/>
      <c r="S1576" s="786" t="s">
        <v>1183</v>
      </c>
      <c r="T1576" s="786"/>
      <c r="U1576" s="786"/>
      <c r="V1576" s="786" t="s">
        <v>1184</v>
      </c>
      <c r="W1576" s="786"/>
      <c r="X1576" s="786"/>
      <c r="Y1576" s="786" t="s">
        <v>1185</v>
      </c>
      <c r="Z1576" s="786"/>
      <c r="AA1576" s="786"/>
      <c r="AB1576" s="786" t="s">
        <v>1186</v>
      </c>
      <c r="AC1576" s="786"/>
      <c r="AD1576" s="786"/>
      <c r="AE1576" s="786" t="s">
        <v>1187</v>
      </c>
      <c r="AF1576" s="786"/>
      <c r="AG1576" s="786"/>
    </row>
    <row r="1577" spans="3:33" s="210" customFormat="1" ht="30.75" hidden="1" customHeight="1">
      <c r="C1577" s="892" t="s">
        <v>1279</v>
      </c>
      <c r="D1577" s="893"/>
      <c r="E1577" s="893"/>
      <c r="F1577" s="893"/>
      <c r="G1577" s="893"/>
      <c r="H1577" s="893"/>
      <c r="I1577" s="893"/>
      <c r="J1577" s="893"/>
      <c r="K1577" s="893"/>
      <c r="L1577" s="894"/>
      <c r="M1577" s="848"/>
      <c r="N1577" s="848"/>
      <c r="O1577" s="848"/>
      <c r="P1577" s="848"/>
      <c r="Q1577" s="848"/>
      <c r="R1577" s="848"/>
      <c r="S1577" s="848"/>
      <c r="T1577" s="848"/>
      <c r="U1577" s="848"/>
      <c r="V1577" s="848"/>
      <c r="W1577" s="848"/>
      <c r="X1577" s="848"/>
      <c r="Y1577" s="848"/>
      <c r="Z1577" s="848"/>
      <c r="AA1577" s="848"/>
      <c r="AB1577" s="848"/>
      <c r="AC1577" s="848"/>
      <c r="AD1577" s="848"/>
      <c r="AE1577" s="848"/>
      <c r="AF1577" s="848"/>
      <c r="AG1577" s="848"/>
    </row>
    <row r="1578" spans="3:33" s="210" customFormat="1" ht="30.75" hidden="1" customHeight="1">
      <c r="C1578" s="892" t="s">
        <v>1280</v>
      </c>
      <c r="D1578" s="893"/>
      <c r="E1578" s="893"/>
      <c r="F1578" s="893"/>
      <c r="G1578" s="893"/>
      <c r="H1578" s="893"/>
      <c r="I1578" s="893"/>
      <c r="J1578" s="893"/>
      <c r="K1578" s="893"/>
      <c r="L1578" s="894"/>
      <c r="M1578" s="848"/>
      <c r="N1578" s="848"/>
      <c r="O1578" s="848"/>
      <c r="P1578" s="848"/>
      <c r="Q1578" s="848"/>
      <c r="R1578" s="848"/>
      <c r="S1578" s="848"/>
      <c r="T1578" s="848"/>
      <c r="U1578" s="848"/>
      <c r="V1578" s="848"/>
      <c r="W1578" s="848"/>
      <c r="X1578" s="848"/>
      <c r="Y1578" s="848"/>
      <c r="Z1578" s="848"/>
      <c r="AA1578" s="848"/>
      <c r="AB1578" s="848"/>
      <c r="AC1578" s="848"/>
      <c r="AD1578" s="848"/>
      <c r="AE1578" s="848"/>
      <c r="AF1578" s="848"/>
      <c r="AG1578" s="848"/>
    </row>
    <row r="1579" spans="3:33" s="210" customFormat="1" ht="30.75" hidden="1" customHeight="1">
      <c r="C1579" s="892" t="s">
        <v>1281</v>
      </c>
      <c r="D1579" s="893"/>
      <c r="E1579" s="893"/>
      <c r="F1579" s="893"/>
      <c r="G1579" s="893"/>
      <c r="H1579" s="893"/>
      <c r="I1579" s="893"/>
      <c r="J1579" s="893"/>
      <c r="K1579" s="893"/>
      <c r="L1579" s="894"/>
      <c r="M1579" s="848"/>
      <c r="N1579" s="848"/>
      <c r="O1579" s="848"/>
      <c r="P1579" s="848"/>
      <c r="Q1579" s="848"/>
      <c r="R1579" s="848"/>
      <c r="S1579" s="848"/>
      <c r="T1579" s="848"/>
      <c r="U1579" s="848"/>
      <c r="V1579" s="848"/>
      <c r="W1579" s="848"/>
      <c r="X1579" s="848"/>
      <c r="Y1579" s="848"/>
      <c r="Z1579" s="848"/>
      <c r="AA1579" s="848"/>
      <c r="AB1579" s="848"/>
      <c r="AC1579" s="848"/>
      <c r="AD1579" s="848"/>
      <c r="AE1579" s="848"/>
      <c r="AF1579" s="848"/>
      <c r="AG1579" s="848"/>
    </row>
    <row r="1580" spans="3:33" s="210" customFormat="1" ht="30.75" hidden="1" customHeight="1">
      <c r="C1580" s="892" t="s">
        <v>1282</v>
      </c>
      <c r="D1580" s="893"/>
      <c r="E1580" s="893"/>
      <c r="F1580" s="893"/>
      <c r="G1580" s="893"/>
      <c r="H1580" s="893"/>
      <c r="I1580" s="893"/>
      <c r="J1580" s="893"/>
      <c r="K1580" s="893"/>
      <c r="L1580" s="894"/>
      <c r="M1580" s="848"/>
      <c r="N1580" s="848"/>
      <c r="O1580" s="848"/>
      <c r="P1580" s="848"/>
      <c r="Q1580" s="848"/>
      <c r="R1580" s="848"/>
      <c r="S1580" s="848"/>
      <c r="T1580" s="848"/>
      <c r="U1580" s="848"/>
      <c r="V1580" s="848"/>
      <c r="W1580" s="848"/>
      <c r="X1580" s="848"/>
      <c r="Y1580" s="848"/>
      <c r="Z1580" s="848"/>
      <c r="AA1580" s="848"/>
      <c r="AB1580" s="848"/>
      <c r="AC1580" s="848"/>
      <c r="AD1580" s="848"/>
      <c r="AE1580" s="848"/>
      <c r="AF1580" s="848"/>
      <c r="AG1580" s="848"/>
    </row>
    <row r="1581" spans="3:33" s="210" customFormat="1" ht="30.75" hidden="1" customHeight="1">
      <c r="C1581" s="892" t="s">
        <v>1283</v>
      </c>
      <c r="D1581" s="893"/>
      <c r="E1581" s="893"/>
      <c r="F1581" s="893"/>
      <c r="G1581" s="893"/>
      <c r="H1581" s="893"/>
      <c r="I1581" s="893"/>
      <c r="J1581" s="893"/>
      <c r="K1581" s="893"/>
      <c r="L1581" s="894"/>
      <c r="M1581" s="848"/>
      <c r="N1581" s="848"/>
      <c r="O1581" s="848"/>
      <c r="P1581" s="848"/>
      <c r="Q1581" s="848"/>
      <c r="R1581" s="848"/>
      <c r="S1581" s="848"/>
      <c r="T1581" s="848"/>
      <c r="U1581" s="848"/>
      <c r="V1581" s="848"/>
      <c r="W1581" s="848"/>
      <c r="X1581" s="848"/>
      <c r="Y1581" s="848"/>
      <c r="Z1581" s="848"/>
      <c r="AA1581" s="848"/>
      <c r="AB1581" s="848"/>
      <c r="AC1581" s="848"/>
      <c r="AD1581" s="848"/>
      <c r="AE1581" s="848"/>
      <c r="AF1581" s="848"/>
      <c r="AG1581" s="848"/>
    </row>
    <row r="1582" spans="3:33" s="210" customFormat="1" ht="30.75" hidden="1" customHeight="1">
      <c r="C1582" s="892" t="s">
        <v>1284</v>
      </c>
      <c r="D1582" s="893"/>
      <c r="E1582" s="893"/>
      <c r="F1582" s="893"/>
      <c r="G1582" s="893"/>
      <c r="H1582" s="893"/>
      <c r="I1582" s="893"/>
      <c r="J1582" s="893"/>
      <c r="K1582" s="893"/>
      <c r="L1582" s="894"/>
      <c r="M1582" s="848"/>
      <c r="N1582" s="848"/>
      <c r="O1582" s="848"/>
      <c r="P1582" s="848"/>
      <c r="Q1582" s="848"/>
      <c r="R1582" s="848"/>
      <c r="S1582" s="848"/>
      <c r="T1582" s="848"/>
      <c r="U1582" s="848"/>
      <c r="V1582" s="848"/>
      <c r="W1582" s="848"/>
      <c r="X1582" s="848"/>
      <c r="Y1582" s="848"/>
      <c r="Z1582" s="848"/>
      <c r="AA1582" s="848"/>
      <c r="AB1582" s="848"/>
      <c r="AC1582" s="848"/>
      <c r="AD1582" s="848"/>
      <c r="AE1582" s="848"/>
      <c r="AF1582" s="848"/>
      <c r="AG1582" s="848"/>
    </row>
    <row r="1583" spans="3:33" s="210" customFormat="1" ht="30.75" hidden="1" customHeight="1">
      <c r="C1583" s="892"/>
      <c r="D1583" s="893"/>
      <c r="E1583" s="893"/>
      <c r="F1583" s="893"/>
      <c r="G1583" s="893"/>
      <c r="H1583" s="893"/>
      <c r="I1583" s="893"/>
      <c r="J1583" s="893"/>
      <c r="K1583" s="893"/>
      <c r="L1583" s="894"/>
      <c r="M1583" s="848"/>
      <c r="N1583" s="848"/>
      <c r="O1583" s="848"/>
      <c r="P1583" s="848"/>
      <c r="Q1583" s="848"/>
      <c r="R1583" s="848"/>
      <c r="S1583" s="848"/>
      <c r="T1583" s="848"/>
      <c r="U1583" s="848"/>
      <c r="V1583" s="848"/>
      <c r="W1583" s="848"/>
      <c r="X1583" s="848"/>
      <c r="Y1583" s="848"/>
      <c r="Z1583" s="848"/>
      <c r="AA1583" s="848"/>
      <c r="AB1583" s="848"/>
      <c r="AC1583" s="848"/>
      <c r="AD1583" s="848"/>
      <c r="AE1583" s="848"/>
      <c r="AF1583" s="848"/>
      <c r="AG1583" s="848"/>
    </row>
    <row r="1584" spans="3:33" s="210" customFormat="1" ht="30.75" hidden="1" customHeight="1">
      <c r="C1584" s="892" t="s">
        <v>1285</v>
      </c>
      <c r="D1584" s="893"/>
      <c r="E1584" s="893"/>
      <c r="F1584" s="893"/>
      <c r="G1584" s="893"/>
      <c r="H1584" s="893"/>
      <c r="I1584" s="893"/>
      <c r="J1584" s="893"/>
      <c r="K1584" s="893"/>
      <c r="L1584" s="894"/>
      <c r="M1584" s="848"/>
      <c r="N1584" s="848"/>
      <c r="O1584" s="848"/>
      <c r="P1584" s="848"/>
      <c r="Q1584" s="848"/>
      <c r="R1584" s="848"/>
      <c r="S1584" s="848"/>
      <c r="T1584" s="848"/>
      <c r="U1584" s="848"/>
      <c r="V1584" s="848"/>
      <c r="W1584" s="848"/>
      <c r="X1584" s="848"/>
      <c r="Y1584" s="848"/>
      <c r="Z1584" s="848"/>
      <c r="AA1584" s="848"/>
      <c r="AB1584" s="848"/>
      <c r="AC1584" s="848"/>
      <c r="AD1584" s="848"/>
      <c r="AE1584" s="848"/>
      <c r="AF1584" s="848"/>
      <c r="AG1584" s="848"/>
    </row>
    <row r="1585" spans="3:33" s="210" customFormat="1" ht="30.75" hidden="1" customHeight="1">
      <c r="C1585" s="892" t="s">
        <v>1286</v>
      </c>
      <c r="D1585" s="893"/>
      <c r="E1585" s="893"/>
      <c r="F1585" s="893"/>
      <c r="G1585" s="893"/>
      <c r="H1585" s="893"/>
      <c r="I1585" s="893"/>
      <c r="J1585" s="893"/>
      <c r="K1585" s="893"/>
      <c r="L1585" s="894"/>
      <c r="M1585" s="848"/>
      <c r="N1585" s="848"/>
      <c r="O1585" s="848"/>
      <c r="P1585" s="848"/>
      <c r="Q1585" s="848"/>
      <c r="R1585" s="848"/>
      <c r="S1585" s="848"/>
      <c r="T1585" s="848"/>
      <c r="U1585" s="848"/>
      <c r="V1585" s="848"/>
      <c r="W1585" s="848"/>
      <c r="X1585" s="848"/>
      <c r="Y1585" s="848"/>
      <c r="Z1585" s="848"/>
      <c r="AA1585" s="848"/>
      <c r="AB1585" s="848"/>
      <c r="AC1585" s="848"/>
      <c r="AD1585" s="848"/>
      <c r="AE1585" s="848"/>
      <c r="AF1585" s="848"/>
      <c r="AG1585" s="848"/>
    </row>
    <row r="1586" spans="3:33" s="210" customFormat="1" ht="30.75" hidden="1" customHeight="1">
      <c r="C1586" s="892" t="s">
        <v>1287</v>
      </c>
      <c r="D1586" s="893"/>
      <c r="E1586" s="893"/>
      <c r="F1586" s="893"/>
      <c r="G1586" s="893"/>
      <c r="H1586" s="893"/>
      <c r="I1586" s="893"/>
      <c r="J1586" s="893"/>
      <c r="K1586" s="893"/>
      <c r="L1586" s="894"/>
      <c r="M1586" s="848"/>
      <c r="N1586" s="848"/>
      <c r="O1586" s="848"/>
      <c r="P1586" s="848"/>
      <c r="Q1586" s="848"/>
      <c r="R1586" s="848"/>
      <c r="S1586" s="848"/>
      <c r="T1586" s="848"/>
      <c r="U1586" s="848"/>
      <c r="V1586" s="848"/>
      <c r="W1586" s="848"/>
      <c r="X1586" s="848"/>
      <c r="Y1586" s="848"/>
      <c r="Z1586" s="848"/>
      <c r="AA1586" s="848"/>
      <c r="AB1586" s="848"/>
      <c r="AC1586" s="848"/>
      <c r="AD1586" s="848"/>
      <c r="AE1586" s="848"/>
      <c r="AF1586" s="848"/>
      <c r="AG1586" s="848"/>
    </row>
    <row r="1587" spans="3:33" s="210" customFormat="1" ht="30.75" hidden="1" customHeight="1">
      <c r="C1587" s="892"/>
      <c r="D1587" s="893"/>
      <c r="E1587" s="893"/>
      <c r="F1587" s="893"/>
      <c r="G1587" s="893"/>
      <c r="H1587" s="893"/>
      <c r="I1587" s="893"/>
      <c r="J1587" s="893"/>
      <c r="K1587" s="893"/>
      <c r="L1587" s="894"/>
      <c r="M1587" s="848"/>
      <c r="N1587" s="848"/>
      <c r="O1587" s="848"/>
      <c r="P1587" s="848"/>
      <c r="Q1587" s="848"/>
      <c r="R1587" s="848"/>
      <c r="S1587" s="848"/>
      <c r="T1587" s="848"/>
      <c r="U1587" s="848"/>
      <c r="V1587" s="848"/>
      <c r="W1587" s="848"/>
      <c r="X1587" s="848"/>
      <c r="Y1587" s="848"/>
      <c r="Z1587" s="848"/>
      <c r="AA1587" s="848"/>
      <c r="AB1587" s="848"/>
      <c r="AC1587" s="848"/>
      <c r="AD1587" s="848"/>
      <c r="AE1587" s="848"/>
      <c r="AF1587" s="848"/>
      <c r="AG1587" s="848"/>
    </row>
    <row r="1588" spans="3:33" s="210" customFormat="1" ht="30.75" hidden="1" customHeight="1">
      <c r="C1588" s="892"/>
      <c r="D1588" s="893"/>
      <c r="E1588" s="893"/>
      <c r="F1588" s="893"/>
      <c r="G1588" s="893"/>
      <c r="H1588" s="893"/>
      <c r="I1588" s="893"/>
      <c r="J1588" s="893"/>
      <c r="K1588" s="893"/>
      <c r="L1588" s="894"/>
      <c r="M1588" s="848"/>
      <c r="N1588" s="848"/>
      <c r="O1588" s="848"/>
      <c r="P1588" s="848"/>
      <c r="Q1588" s="848"/>
      <c r="R1588" s="848"/>
      <c r="S1588" s="848"/>
      <c r="T1588" s="848"/>
      <c r="U1588" s="848"/>
      <c r="V1588" s="848"/>
      <c r="W1588" s="848"/>
      <c r="X1588" s="848"/>
      <c r="Y1588" s="848"/>
      <c r="Z1588" s="848"/>
      <c r="AA1588" s="848"/>
      <c r="AB1588" s="848"/>
      <c r="AC1588" s="848"/>
      <c r="AD1588" s="848"/>
      <c r="AE1588" s="848"/>
      <c r="AF1588" s="848"/>
      <c r="AG1588" s="848"/>
    </row>
    <row r="1589" spans="3:33" s="210" customFormat="1" ht="30.75" hidden="1" customHeight="1">
      <c r="C1589" s="892" t="s">
        <v>1288</v>
      </c>
      <c r="D1589" s="893"/>
      <c r="E1589" s="893"/>
      <c r="F1589" s="893"/>
      <c r="G1589" s="893"/>
      <c r="H1589" s="893"/>
      <c r="I1589" s="893"/>
      <c r="J1589" s="893"/>
      <c r="K1589" s="893"/>
      <c r="L1589" s="894"/>
      <c r="M1589" s="848"/>
      <c r="N1589" s="848"/>
      <c r="O1589" s="848"/>
      <c r="P1589" s="848"/>
      <c r="Q1589" s="848"/>
      <c r="R1589" s="848"/>
      <c r="S1589" s="848"/>
      <c r="T1589" s="848"/>
      <c r="U1589" s="848"/>
      <c r="V1589" s="848"/>
      <c r="W1589" s="848"/>
      <c r="X1589" s="848"/>
      <c r="Y1589" s="848"/>
      <c r="Z1589" s="848"/>
      <c r="AA1589" s="848"/>
      <c r="AB1589" s="848"/>
      <c r="AC1589" s="848"/>
      <c r="AD1589" s="848"/>
      <c r="AE1589" s="848"/>
      <c r="AF1589" s="848"/>
      <c r="AG1589" s="848"/>
    </row>
    <row r="1590" spans="3:33" s="210" customFormat="1" ht="30.75" hidden="1" customHeight="1">
      <c r="C1590" s="892"/>
      <c r="D1590" s="893"/>
      <c r="E1590" s="893"/>
      <c r="F1590" s="893"/>
      <c r="G1590" s="893"/>
      <c r="H1590" s="893"/>
      <c r="I1590" s="893"/>
      <c r="J1590" s="893"/>
      <c r="K1590" s="893"/>
      <c r="L1590" s="894"/>
      <c r="M1590" s="848"/>
      <c r="N1590" s="848"/>
      <c r="O1590" s="848"/>
      <c r="P1590" s="848"/>
      <c r="Q1590" s="848"/>
      <c r="R1590" s="848"/>
      <c r="S1590" s="848"/>
      <c r="T1590" s="848"/>
      <c r="U1590" s="848"/>
      <c r="V1590" s="848"/>
      <c r="W1590" s="848"/>
      <c r="X1590" s="848"/>
      <c r="Y1590" s="848"/>
      <c r="Z1590" s="848"/>
      <c r="AA1590" s="848"/>
      <c r="AB1590" s="848"/>
      <c r="AC1590" s="848"/>
      <c r="AD1590" s="848"/>
      <c r="AE1590" s="848"/>
      <c r="AF1590" s="848"/>
      <c r="AG1590" s="848"/>
    </row>
    <row r="1591" spans="3:33" hidden="1">
      <c r="C1591" s="812" t="s">
        <v>1289</v>
      </c>
      <c r="D1591" s="813"/>
      <c r="E1591" s="813"/>
      <c r="F1591" s="813"/>
      <c r="G1591" s="813"/>
      <c r="H1591" s="813"/>
      <c r="I1591" s="813"/>
      <c r="J1591" s="813"/>
      <c r="K1591" s="813"/>
      <c r="L1591" s="814"/>
      <c r="M1591" s="786"/>
      <c r="N1591" s="786"/>
      <c r="O1591" s="786"/>
      <c r="P1591" s="786"/>
      <c r="Q1591" s="786"/>
      <c r="R1591" s="786"/>
      <c r="S1591" s="786"/>
      <c r="T1591" s="786"/>
      <c r="U1591" s="786"/>
      <c r="V1591" s="786"/>
      <c r="W1591" s="786"/>
      <c r="X1591" s="786"/>
      <c r="Y1591" s="786"/>
      <c r="Z1591" s="786"/>
      <c r="AA1591" s="786"/>
      <c r="AB1591" s="786"/>
      <c r="AC1591" s="786"/>
      <c r="AD1591" s="786"/>
      <c r="AE1591" s="786"/>
      <c r="AF1591" s="786"/>
      <c r="AG1591" s="786"/>
    </row>
    <row r="1592" spans="3:33" hidden="1">
      <c r="C1592" s="812"/>
      <c r="D1592" s="813"/>
      <c r="E1592" s="813"/>
      <c r="F1592" s="813"/>
      <c r="G1592" s="813"/>
      <c r="H1592" s="813"/>
      <c r="I1592" s="813"/>
      <c r="J1592" s="813"/>
      <c r="K1592" s="813"/>
      <c r="L1592" s="814"/>
      <c r="M1592" s="786"/>
      <c r="N1592" s="786"/>
      <c r="O1592" s="786"/>
      <c r="P1592" s="786"/>
      <c r="Q1592" s="786"/>
      <c r="R1592" s="786"/>
      <c r="S1592" s="786"/>
      <c r="T1592" s="786"/>
      <c r="U1592" s="786"/>
      <c r="V1592" s="786"/>
      <c r="W1592" s="786"/>
      <c r="X1592" s="786"/>
      <c r="Y1592" s="786"/>
      <c r="Z1592" s="786"/>
      <c r="AA1592" s="786"/>
      <c r="AB1592" s="786"/>
      <c r="AC1592" s="786"/>
      <c r="AD1592" s="786"/>
      <c r="AE1592" s="786"/>
      <c r="AF1592" s="786"/>
      <c r="AG1592" s="786"/>
    </row>
    <row r="1593" spans="3:33" ht="35.25" hidden="1" customHeight="1">
      <c r="C1593" s="892" t="s">
        <v>1290</v>
      </c>
      <c r="D1593" s="893"/>
      <c r="E1593" s="893"/>
      <c r="F1593" s="893"/>
      <c r="G1593" s="893"/>
      <c r="H1593" s="893"/>
      <c r="I1593" s="893"/>
      <c r="J1593" s="893"/>
      <c r="K1593" s="893"/>
      <c r="L1593" s="894"/>
      <c r="M1593" s="786"/>
      <c r="N1593" s="786"/>
      <c r="O1593" s="786"/>
      <c r="P1593" s="786"/>
      <c r="Q1593" s="786"/>
      <c r="R1593" s="786"/>
      <c r="S1593" s="786"/>
      <c r="T1593" s="786"/>
      <c r="U1593" s="786"/>
      <c r="V1593" s="786"/>
      <c r="W1593" s="786"/>
      <c r="X1593" s="786"/>
      <c r="Y1593" s="786"/>
      <c r="Z1593" s="786"/>
      <c r="AA1593" s="786"/>
      <c r="AB1593" s="786"/>
      <c r="AC1593" s="786"/>
      <c r="AD1593" s="786"/>
      <c r="AE1593" s="786"/>
      <c r="AF1593" s="786"/>
      <c r="AG1593" s="786"/>
    </row>
    <row r="1594" spans="3:33" hidden="1">
      <c r="C1594" s="813"/>
      <c r="D1594" s="813"/>
      <c r="E1594" s="813"/>
      <c r="F1594" s="813"/>
      <c r="G1594" s="813"/>
      <c r="H1594" s="813"/>
      <c r="I1594" s="813"/>
      <c r="J1594" s="813"/>
      <c r="K1594" s="813"/>
      <c r="L1594" s="813"/>
      <c r="M1594" s="813"/>
      <c r="N1594" s="813"/>
      <c r="O1594" s="813"/>
      <c r="P1594" s="813"/>
      <c r="Q1594" s="813"/>
      <c r="R1594" s="813"/>
      <c r="S1594" s="813"/>
      <c r="T1594" s="813"/>
      <c r="U1594" s="813"/>
      <c r="V1594" s="813"/>
      <c r="W1594" s="813"/>
      <c r="X1594" s="813"/>
      <c r="Y1594" s="813"/>
      <c r="Z1594" s="813"/>
      <c r="AA1594" s="813"/>
      <c r="AB1594" s="813"/>
      <c r="AC1594" s="813"/>
      <c r="AD1594" s="813"/>
      <c r="AE1594" s="813"/>
      <c r="AF1594" s="813"/>
      <c r="AG1594" s="813"/>
    </row>
    <row r="1595" spans="3:33" ht="30" hidden="1" customHeight="1">
      <c r="C1595" s="812" t="s">
        <v>1278</v>
      </c>
      <c r="D1595" s="813"/>
      <c r="E1595" s="813"/>
      <c r="F1595" s="813"/>
      <c r="G1595" s="813"/>
      <c r="H1595" s="813"/>
      <c r="I1595" s="813"/>
      <c r="J1595" s="813"/>
      <c r="K1595" s="813"/>
      <c r="L1595" s="814"/>
      <c r="M1595" s="786" t="s">
        <v>1179</v>
      </c>
      <c r="N1595" s="786"/>
      <c r="O1595" s="786"/>
      <c r="P1595" s="786" t="s">
        <v>1182</v>
      </c>
      <c r="Q1595" s="786"/>
      <c r="R1595" s="786"/>
      <c r="S1595" s="786" t="s">
        <v>1183</v>
      </c>
      <c r="T1595" s="786"/>
      <c r="U1595" s="786"/>
      <c r="V1595" s="786" t="s">
        <v>1184</v>
      </c>
      <c r="W1595" s="786"/>
      <c r="X1595" s="786"/>
      <c r="Y1595" s="786" t="s">
        <v>1185</v>
      </c>
      <c r="Z1595" s="786"/>
      <c r="AA1595" s="786"/>
      <c r="AB1595" s="786" t="s">
        <v>1186</v>
      </c>
      <c r="AC1595" s="786"/>
      <c r="AD1595" s="786"/>
      <c r="AE1595" s="786" t="s">
        <v>1187</v>
      </c>
      <c r="AF1595" s="786"/>
      <c r="AG1595" s="786"/>
    </row>
    <row r="1596" spans="3:33" ht="30" hidden="1" customHeight="1">
      <c r="C1596" s="888" t="s">
        <v>1291</v>
      </c>
      <c r="D1596" s="889"/>
      <c r="E1596" s="889"/>
      <c r="F1596" s="889"/>
      <c r="G1596" s="889"/>
      <c r="H1596" s="889"/>
      <c r="I1596" s="889"/>
      <c r="J1596" s="889"/>
      <c r="K1596" s="889"/>
      <c r="L1596" s="890"/>
      <c r="M1596" s="786"/>
      <c r="N1596" s="786"/>
      <c r="O1596" s="786"/>
      <c r="P1596" s="786"/>
      <c r="Q1596" s="786"/>
      <c r="R1596" s="786"/>
      <c r="S1596" s="786"/>
      <c r="T1596" s="786"/>
      <c r="U1596" s="786"/>
      <c r="V1596" s="786"/>
      <c r="W1596" s="786"/>
      <c r="X1596" s="786"/>
      <c r="Y1596" s="786"/>
      <c r="Z1596" s="786"/>
      <c r="AA1596" s="786"/>
      <c r="AB1596" s="786"/>
      <c r="AC1596" s="786"/>
      <c r="AD1596" s="786"/>
      <c r="AE1596" s="786"/>
      <c r="AF1596" s="786"/>
      <c r="AG1596" s="786"/>
    </row>
    <row r="1597" spans="3:33" ht="30" hidden="1" customHeight="1">
      <c r="C1597" s="888" t="s">
        <v>1292</v>
      </c>
      <c r="D1597" s="889"/>
      <c r="E1597" s="889"/>
      <c r="F1597" s="889"/>
      <c r="G1597" s="889"/>
      <c r="H1597" s="889"/>
      <c r="I1597" s="889"/>
      <c r="J1597" s="889"/>
      <c r="K1597" s="889"/>
      <c r="L1597" s="890"/>
      <c r="M1597" s="786"/>
      <c r="N1597" s="786"/>
      <c r="O1597" s="786"/>
      <c r="P1597" s="786"/>
      <c r="Q1597" s="786"/>
      <c r="R1597" s="786"/>
      <c r="S1597" s="786"/>
      <c r="T1597" s="786"/>
      <c r="U1597" s="786"/>
      <c r="V1597" s="786"/>
      <c r="W1597" s="786"/>
      <c r="X1597" s="786"/>
      <c r="Y1597" s="786"/>
      <c r="Z1597" s="786"/>
      <c r="AA1597" s="786"/>
      <c r="AB1597" s="786"/>
      <c r="AC1597" s="786"/>
      <c r="AD1597" s="786"/>
      <c r="AE1597" s="786"/>
      <c r="AF1597" s="786"/>
      <c r="AG1597" s="786"/>
    </row>
    <row r="1598" spans="3:33" ht="30" hidden="1" customHeight="1">
      <c r="C1598" s="888" t="s">
        <v>1293</v>
      </c>
      <c r="D1598" s="889"/>
      <c r="E1598" s="889"/>
      <c r="F1598" s="889"/>
      <c r="G1598" s="889"/>
      <c r="H1598" s="889"/>
      <c r="I1598" s="889"/>
      <c r="J1598" s="889"/>
      <c r="K1598" s="889"/>
      <c r="L1598" s="890"/>
      <c r="M1598" s="786"/>
      <c r="N1598" s="786"/>
      <c r="O1598" s="786"/>
      <c r="P1598" s="786"/>
      <c r="Q1598" s="786"/>
      <c r="R1598" s="786"/>
      <c r="S1598" s="786"/>
      <c r="T1598" s="786"/>
      <c r="U1598" s="786"/>
      <c r="V1598" s="786"/>
      <c r="W1598" s="786"/>
      <c r="X1598" s="786"/>
      <c r="Y1598" s="786"/>
      <c r="Z1598" s="786"/>
      <c r="AA1598" s="786"/>
      <c r="AB1598" s="786"/>
      <c r="AC1598" s="786"/>
      <c r="AD1598" s="786"/>
      <c r="AE1598" s="786"/>
      <c r="AF1598" s="786"/>
      <c r="AG1598" s="786"/>
    </row>
    <row r="1599" spans="3:33" ht="30" hidden="1" customHeight="1">
      <c r="C1599" s="888" t="s">
        <v>1294</v>
      </c>
      <c r="D1599" s="889"/>
      <c r="E1599" s="889"/>
      <c r="F1599" s="889"/>
      <c r="G1599" s="889"/>
      <c r="H1599" s="889"/>
      <c r="I1599" s="889"/>
      <c r="J1599" s="889"/>
      <c r="K1599" s="889"/>
      <c r="L1599" s="890"/>
      <c r="M1599" s="786"/>
      <c r="N1599" s="786"/>
      <c r="O1599" s="786"/>
      <c r="P1599" s="786"/>
      <c r="Q1599" s="786"/>
      <c r="R1599" s="786"/>
      <c r="S1599" s="786"/>
      <c r="T1599" s="786"/>
      <c r="U1599" s="786"/>
      <c r="V1599" s="786"/>
      <c r="W1599" s="786"/>
      <c r="X1599" s="786"/>
      <c r="Y1599" s="786"/>
      <c r="Z1599" s="786"/>
      <c r="AA1599" s="786"/>
      <c r="AB1599" s="786"/>
      <c r="AC1599" s="786"/>
      <c r="AD1599" s="786"/>
      <c r="AE1599" s="786"/>
      <c r="AF1599" s="786"/>
      <c r="AG1599" s="786"/>
    </row>
    <row r="1600" spans="3:33" ht="30" hidden="1" customHeight="1">
      <c r="C1600" s="888" t="s">
        <v>1295</v>
      </c>
      <c r="D1600" s="889"/>
      <c r="E1600" s="889"/>
      <c r="F1600" s="889"/>
      <c r="G1600" s="889"/>
      <c r="H1600" s="889"/>
      <c r="I1600" s="889"/>
      <c r="J1600" s="889"/>
      <c r="K1600" s="889"/>
      <c r="L1600" s="890"/>
      <c r="M1600" s="786"/>
      <c r="N1600" s="786"/>
      <c r="O1600" s="786"/>
      <c r="P1600" s="786"/>
      <c r="Q1600" s="786"/>
      <c r="R1600" s="786"/>
      <c r="S1600" s="786"/>
      <c r="T1600" s="786"/>
      <c r="U1600" s="786"/>
      <c r="V1600" s="786"/>
      <c r="W1600" s="786"/>
      <c r="X1600" s="786"/>
      <c r="Y1600" s="786"/>
      <c r="Z1600" s="786"/>
      <c r="AA1600" s="786"/>
      <c r="AB1600" s="786"/>
      <c r="AC1600" s="786"/>
      <c r="AD1600" s="786"/>
      <c r="AE1600" s="786"/>
      <c r="AF1600" s="786"/>
      <c r="AG1600" s="786"/>
    </row>
    <row r="1601" spans="3:33" ht="30" hidden="1" customHeight="1">
      <c r="C1601" s="888" t="s">
        <v>1296</v>
      </c>
      <c r="D1601" s="889"/>
      <c r="E1601" s="889"/>
      <c r="F1601" s="889"/>
      <c r="G1601" s="889"/>
      <c r="H1601" s="889"/>
      <c r="I1601" s="889"/>
      <c r="J1601" s="889"/>
      <c r="K1601" s="889"/>
      <c r="L1601" s="890"/>
      <c r="M1601" s="786"/>
      <c r="N1601" s="786"/>
      <c r="O1601" s="786"/>
      <c r="P1601" s="786"/>
      <c r="Q1601" s="786"/>
      <c r="R1601" s="786"/>
      <c r="S1601" s="786"/>
      <c r="T1601" s="786"/>
      <c r="U1601" s="786"/>
      <c r="V1601" s="786"/>
      <c r="W1601" s="786"/>
      <c r="X1601" s="786"/>
      <c r="Y1601" s="786"/>
      <c r="Z1601" s="786"/>
      <c r="AA1601" s="786"/>
      <c r="AB1601" s="786"/>
      <c r="AC1601" s="786"/>
      <c r="AD1601" s="786"/>
      <c r="AE1601" s="786"/>
      <c r="AF1601" s="786"/>
      <c r="AG1601" s="786"/>
    </row>
    <row r="1602" spans="3:33" ht="30" hidden="1" customHeight="1">
      <c r="C1602" s="888" t="s">
        <v>1297</v>
      </c>
      <c r="D1602" s="889"/>
      <c r="E1602" s="889"/>
      <c r="F1602" s="889"/>
      <c r="G1602" s="889"/>
      <c r="H1602" s="889"/>
      <c r="I1602" s="889"/>
      <c r="J1602" s="889"/>
      <c r="K1602" s="889"/>
      <c r="L1602" s="890"/>
      <c r="M1602" s="786"/>
      <c r="N1602" s="786"/>
      <c r="O1602" s="786"/>
      <c r="P1602" s="786"/>
      <c r="Q1602" s="786"/>
      <c r="R1602" s="786"/>
      <c r="S1602" s="786"/>
      <c r="T1602" s="786"/>
      <c r="U1602" s="786"/>
      <c r="V1602" s="786"/>
      <c r="W1602" s="786"/>
      <c r="X1602" s="786"/>
      <c r="Y1602" s="786"/>
      <c r="Z1602" s="786"/>
      <c r="AA1602" s="786"/>
      <c r="AB1602" s="786"/>
      <c r="AC1602" s="786"/>
      <c r="AD1602" s="786"/>
      <c r="AE1602" s="786"/>
      <c r="AF1602" s="786"/>
      <c r="AG1602" s="786"/>
    </row>
    <row r="1603" spans="3:33" ht="30" hidden="1" customHeight="1">
      <c r="C1603" s="888"/>
      <c r="D1603" s="889"/>
      <c r="E1603" s="889"/>
      <c r="F1603" s="889"/>
      <c r="G1603" s="889"/>
      <c r="H1603" s="889"/>
      <c r="I1603" s="889"/>
      <c r="J1603" s="889"/>
      <c r="K1603" s="889"/>
      <c r="L1603" s="890"/>
      <c r="M1603" s="786"/>
      <c r="N1603" s="786"/>
      <c r="O1603" s="786"/>
      <c r="P1603" s="786"/>
      <c r="Q1603" s="786"/>
      <c r="R1603" s="786"/>
      <c r="S1603" s="786"/>
      <c r="T1603" s="786"/>
      <c r="U1603" s="786"/>
      <c r="V1603" s="786"/>
      <c r="W1603" s="786"/>
      <c r="X1603" s="786"/>
      <c r="Y1603" s="786"/>
      <c r="Z1603" s="786"/>
      <c r="AA1603" s="786"/>
      <c r="AB1603" s="786"/>
      <c r="AC1603" s="786"/>
      <c r="AD1603" s="786"/>
      <c r="AE1603" s="786"/>
      <c r="AF1603" s="786"/>
      <c r="AG1603" s="786"/>
    </row>
    <row r="1604" spans="3:33" ht="30" hidden="1" customHeight="1">
      <c r="C1604" s="888" t="s">
        <v>1298</v>
      </c>
      <c r="D1604" s="889"/>
      <c r="E1604" s="889"/>
      <c r="F1604" s="889"/>
      <c r="G1604" s="889"/>
      <c r="H1604" s="889"/>
      <c r="I1604" s="889"/>
      <c r="J1604" s="889"/>
      <c r="K1604" s="889"/>
      <c r="L1604" s="890"/>
      <c r="M1604" s="786"/>
      <c r="N1604" s="786"/>
      <c r="O1604" s="786"/>
      <c r="P1604" s="786"/>
      <c r="Q1604" s="786"/>
      <c r="R1604" s="786"/>
      <c r="S1604" s="786"/>
      <c r="T1604" s="786"/>
      <c r="U1604" s="786"/>
      <c r="V1604" s="786"/>
      <c r="W1604" s="786"/>
      <c r="X1604" s="786"/>
      <c r="Y1604" s="786"/>
      <c r="Z1604" s="786"/>
      <c r="AA1604" s="786"/>
      <c r="AB1604" s="786"/>
      <c r="AC1604" s="786"/>
      <c r="AD1604" s="786"/>
      <c r="AE1604" s="786"/>
      <c r="AF1604" s="786"/>
      <c r="AG1604" s="786"/>
    </row>
    <row r="1605" spans="3:33" ht="30" hidden="1" customHeight="1">
      <c r="C1605" s="888"/>
      <c r="D1605" s="889"/>
      <c r="E1605" s="889"/>
      <c r="F1605" s="889"/>
      <c r="G1605" s="889"/>
      <c r="H1605" s="889"/>
      <c r="I1605" s="889"/>
      <c r="J1605" s="889"/>
      <c r="K1605" s="889"/>
      <c r="L1605" s="890"/>
      <c r="M1605" s="786"/>
      <c r="N1605" s="786"/>
      <c r="O1605" s="786"/>
      <c r="P1605" s="786"/>
      <c r="Q1605" s="786"/>
      <c r="R1605" s="786"/>
      <c r="S1605" s="786"/>
      <c r="T1605" s="786"/>
      <c r="U1605" s="786"/>
      <c r="V1605" s="786"/>
      <c r="W1605" s="786"/>
      <c r="X1605" s="786"/>
      <c r="Y1605" s="786"/>
      <c r="Z1605" s="786"/>
      <c r="AA1605" s="786"/>
      <c r="AB1605" s="786"/>
      <c r="AC1605" s="786"/>
      <c r="AD1605" s="786"/>
      <c r="AE1605" s="786"/>
      <c r="AF1605" s="786"/>
      <c r="AG1605" s="786"/>
    </row>
    <row r="1606" spans="3:33" ht="30" hidden="1" customHeight="1">
      <c r="C1606" s="888" t="s">
        <v>1299</v>
      </c>
      <c r="D1606" s="889"/>
      <c r="E1606" s="889"/>
      <c r="F1606" s="889"/>
      <c r="G1606" s="889"/>
      <c r="H1606" s="889"/>
      <c r="I1606" s="889"/>
      <c r="J1606" s="889"/>
      <c r="K1606" s="889"/>
      <c r="L1606" s="890"/>
      <c r="M1606" s="786"/>
      <c r="N1606" s="786"/>
      <c r="O1606" s="786"/>
      <c r="P1606" s="786"/>
      <c r="Q1606" s="786"/>
      <c r="R1606" s="786"/>
      <c r="S1606" s="786"/>
      <c r="T1606" s="786"/>
      <c r="U1606" s="786"/>
      <c r="V1606" s="786"/>
      <c r="W1606" s="786"/>
      <c r="X1606" s="786"/>
      <c r="Y1606" s="786"/>
      <c r="Z1606" s="786"/>
      <c r="AA1606" s="786"/>
      <c r="AB1606" s="786"/>
      <c r="AC1606" s="786"/>
      <c r="AD1606" s="786"/>
      <c r="AE1606" s="786"/>
      <c r="AF1606" s="786"/>
      <c r="AG1606" s="786"/>
    </row>
    <row r="1607" spans="3:33" ht="30" hidden="1" customHeight="1">
      <c r="C1607" s="888"/>
      <c r="D1607" s="889"/>
      <c r="E1607" s="889"/>
      <c r="F1607" s="889"/>
      <c r="G1607" s="889"/>
      <c r="H1607" s="889"/>
      <c r="I1607" s="889"/>
      <c r="J1607" s="889"/>
      <c r="K1607" s="889"/>
      <c r="L1607" s="890"/>
      <c r="M1607" s="786"/>
      <c r="N1607" s="786"/>
      <c r="O1607" s="786"/>
      <c r="P1607" s="786"/>
      <c r="Q1607" s="786"/>
      <c r="R1607" s="786"/>
      <c r="S1607" s="786"/>
      <c r="T1607" s="786"/>
      <c r="U1607" s="786"/>
      <c r="V1607" s="786"/>
      <c r="W1607" s="786"/>
      <c r="X1607" s="786"/>
      <c r="Y1607" s="786"/>
      <c r="Z1607" s="786"/>
      <c r="AA1607" s="786"/>
      <c r="AB1607" s="786"/>
      <c r="AC1607" s="786"/>
      <c r="AD1607" s="786"/>
      <c r="AE1607" s="786"/>
      <c r="AF1607" s="786"/>
      <c r="AG1607" s="786"/>
    </row>
    <row r="1608" spans="3:33" ht="30" hidden="1" customHeight="1">
      <c r="C1608" s="888" t="s">
        <v>1300</v>
      </c>
      <c r="D1608" s="889"/>
      <c r="E1608" s="889"/>
      <c r="F1608" s="889"/>
      <c r="G1608" s="889"/>
      <c r="H1608" s="889"/>
      <c r="I1608" s="889"/>
      <c r="J1608" s="889"/>
      <c r="K1608" s="889"/>
      <c r="L1608" s="890"/>
      <c r="M1608" s="786"/>
      <c r="N1608" s="786"/>
      <c r="O1608" s="786"/>
      <c r="P1608" s="786"/>
      <c r="Q1608" s="786"/>
      <c r="R1608" s="786"/>
      <c r="S1608" s="786"/>
      <c r="T1608" s="786"/>
      <c r="U1608" s="786"/>
      <c r="V1608" s="786"/>
      <c r="W1608" s="786"/>
      <c r="X1608" s="786"/>
      <c r="Y1608" s="786"/>
      <c r="Z1608" s="786"/>
      <c r="AA1608" s="786"/>
      <c r="AB1608" s="786"/>
      <c r="AC1608" s="786"/>
      <c r="AD1608" s="786"/>
      <c r="AE1608" s="786"/>
      <c r="AF1608" s="786"/>
      <c r="AG1608" s="786"/>
    </row>
    <row r="1609" spans="3:33" ht="30" hidden="1" customHeight="1">
      <c r="C1609" s="888" t="s">
        <v>1301</v>
      </c>
      <c r="D1609" s="889"/>
      <c r="E1609" s="889"/>
      <c r="F1609" s="889"/>
      <c r="G1609" s="889"/>
      <c r="H1609" s="889"/>
      <c r="I1609" s="889"/>
      <c r="J1609" s="889"/>
      <c r="K1609" s="889"/>
      <c r="L1609" s="890"/>
      <c r="M1609" s="786"/>
      <c r="N1609" s="786"/>
      <c r="O1609" s="786"/>
      <c r="P1609" s="786"/>
      <c r="Q1609" s="786"/>
      <c r="R1609" s="786"/>
      <c r="S1609" s="786"/>
      <c r="T1609" s="786"/>
      <c r="U1609" s="786"/>
      <c r="V1609" s="786"/>
      <c r="W1609" s="786"/>
      <c r="X1609" s="786"/>
      <c r="Y1609" s="786"/>
      <c r="Z1609" s="786"/>
      <c r="AA1609" s="786"/>
      <c r="AB1609" s="786"/>
      <c r="AC1609" s="786"/>
      <c r="AD1609" s="786"/>
      <c r="AE1609" s="786"/>
      <c r="AF1609" s="786"/>
      <c r="AG1609" s="786"/>
    </row>
    <row r="1610" spans="3:33" ht="30" hidden="1" customHeight="1">
      <c r="C1610" s="888" t="s">
        <v>1302</v>
      </c>
      <c r="D1610" s="889"/>
      <c r="E1610" s="889"/>
      <c r="F1610" s="889"/>
      <c r="G1610" s="889"/>
      <c r="H1610" s="889"/>
      <c r="I1610" s="889"/>
      <c r="J1610" s="889"/>
      <c r="K1610" s="889"/>
      <c r="L1610" s="890"/>
      <c r="M1610" s="786"/>
      <c r="N1610" s="786"/>
      <c r="O1610" s="786"/>
      <c r="P1610" s="786"/>
      <c r="Q1610" s="786"/>
      <c r="R1610" s="786"/>
      <c r="S1610" s="786"/>
      <c r="T1610" s="786"/>
      <c r="U1610" s="786"/>
      <c r="V1610" s="786"/>
      <c r="W1610" s="786"/>
      <c r="X1610" s="786"/>
      <c r="Y1610" s="786"/>
      <c r="Z1610" s="786"/>
      <c r="AA1610" s="786"/>
      <c r="AB1610" s="786"/>
      <c r="AC1610" s="786"/>
      <c r="AD1610" s="786"/>
      <c r="AE1610" s="786"/>
      <c r="AF1610" s="786"/>
      <c r="AG1610" s="786"/>
    </row>
    <row r="1611" spans="3:33" ht="30" hidden="1" customHeight="1">
      <c r="C1611" s="888"/>
      <c r="D1611" s="889"/>
      <c r="E1611" s="889"/>
      <c r="F1611" s="889"/>
      <c r="G1611" s="889"/>
      <c r="H1611" s="889"/>
      <c r="I1611" s="889"/>
      <c r="J1611" s="889"/>
      <c r="K1611" s="889"/>
      <c r="L1611" s="890"/>
      <c r="M1611" s="786"/>
      <c r="N1611" s="786"/>
      <c r="O1611" s="786"/>
      <c r="P1611" s="786"/>
      <c r="Q1611" s="786"/>
      <c r="R1611" s="786"/>
      <c r="S1611" s="786"/>
      <c r="T1611" s="786"/>
      <c r="U1611" s="786"/>
      <c r="V1611" s="786"/>
      <c r="W1611" s="786"/>
      <c r="X1611" s="786"/>
      <c r="Y1611" s="786"/>
      <c r="Z1611" s="786"/>
      <c r="AA1611" s="786"/>
      <c r="AB1611" s="786"/>
      <c r="AC1611" s="786"/>
      <c r="AD1611" s="786"/>
      <c r="AE1611" s="786"/>
      <c r="AF1611" s="786"/>
      <c r="AG1611" s="786"/>
    </row>
    <row r="1612" spans="3:33" ht="30" hidden="1" customHeight="1">
      <c r="C1612" s="888"/>
      <c r="D1612" s="889"/>
      <c r="E1612" s="889"/>
      <c r="F1612" s="889"/>
      <c r="G1612" s="889"/>
      <c r="H1612" s="889"/>
      <c r="I1612" s="889"/>
      <c r="J1612" s="889"/>
      <c r="K1612" s="889"/>
      <c r="L1612" s="890"/>
      <c r="M1612" s="786"/>
      <c r="N1612" s="786"/>
      <c r="O1612" s="786"/>
      <c r="P1612" s="786"/>
      <c r="Q1612" s="786"/>
      <c r="R1612" s="786"/>
      <c r="S1612" s="786"/>
      <c r="T1612" s="786"/>
      <c r="U1612" s="786"/>
      <c r="V1612" s="786"/>
      <c r="W1612" s="786"/>
      <c r="X1612" s="786"/>
      <c r="Y1612" s="786"/>
      <c r="Z1612" s="786"/>
      <c r="AA1612" s="786"/>
      <c r="AB1612" s="786"/>
      <c r="AC1612" s="786"/>
      <c r="AD1612" s="786"/>
      <c r="AE1612" s="786"/>
      <c r="AF1612" s="786"/>
      <c r="AG1612" s="786"/>
    </row>
    <row r="1613" spans="3:33" ht="30" hidden="1" customHeight="1">
      <c r="C1613" s="888" t="s">
        <v>1303</v>
      </c>
      <c r="D1613" s="889"/>
      <c r="E1613" s="889"/>
      <c r="F1613" s="889"/>
      <c r="G1613" s="889"/>
      <c r="H1613" s="889"/>
      <c r="I1613" s="889"/>
      <c r="J1613" s="889"/>
      <c r="K1613" s="889"/>
      <c r="L1613" s="890"/>
      <c r="M1613" s="786"/>
      <c r="N1613" s="786"/>
      <c r="O1613" s="786"/>
      <c r="P1613" s="786"/>
      <c r="Q1613" s="786"/>
      <c r="R1613" s="786"/>
      <c r="S1613" s="786"/>
      <c r="T1613" s="786"/>
      <c r="U1613" s="786"/>
      <c r="V1613" s="786"/>
      <c r="W1613" s="786"/>
      <c r="X1613" s="786"/>
      <c r="Y1613" s="786"/>
      <c r="Z1613" s="786"/>
      <c r="AA1613" s="786"/>
      <c r="AB1613" s="786"/>
      <c r="AC1613" s="786"/>
      <c r="AD1613" s="786"/>
      <c r="AE1613" s="786"/>
      <c r="AF1613" s="786"/>
      <c r="AG1613" s="786"/>
    </row>
    <row r="1614" spans="3:33" ht="30" hidden="1" customHeight="1">
      <c r="C1614" s="888"/>
      <c r="D1614" s="889"/>
      <c r="E1614" s="889"/>
      <c r="F1614" s="889"/>
      <c r="G1614" s="889"/>
      <c r="H1614" s="889"/>
      <c r="I1614" s="889"/>
      <c r="J1614" s="889"/>
      <c r="K1614" s="889"/>
      <c r="L1614" s="890"/>
      <c r="M1614" s="786"/>
      <c r="N1614" s="786"/>
      <c r="O1614" s="786"/>
      <c r="P1614" s="786"/>
      <c r="Q1614" s="786"/>
      <c r="R1614" s="786"/>
      <c r="S1614" s="786"/>
      <c r="T1614" s="786"/>
      <c r="U1614" s="786"/>
      <c r="V1614" s="786"/>
      <c r="W1614" s="786"/>
      <c r="X1614" s="786"/>
      <c r="Y1614" s="786"/>
      <c r="Z1614" s="786"/>
      <c r="AA1614" s="786"/>
      <c r="AB1614" s="786"/>
      <c r="AC1614" s="786"/>
      <c r="AD1614" s="786"/>
      <c r="AE1614" s="786"/>
      <c r="AF1614" s="786"/>
      <c r="AG1614" s="786"/>
    </row>
    <row r="1615" spans="3:33" ht="30" hidden="1" customHeight="1">
      <c r="C1615" s="888"/>
      <c r="D1615" s="889"/>
      <c r="E1615" s="889"/>
      <c r="F1615" s="889"/>
      <c r="G1615" s="889"/>
      <c r="H1615" s="889"/>
      <c r="I1615" s="889"/>
      <c r="J1615" s="889"/>
      <c r="K1615" s="889"/>
      <c r="L1615" s="890"/>
      <c r="M1615" s="786"/>
      <c r="N1615" s="786"/>
      <c r="O1615" s="786"/>
      <c r="P1615" s="786"/>
      <c r="Q1615" s="786"/>
      <c r="R1615" s="786"/>
      <c r="S1615" s="786"/>
      <c r="T1615" s="786"/>
      <c r="U1615" s="786"/>
      <c r="V1615" s="786"/>
      <c r="W1615" s="786"/>
      <c r="X1615" s="786"/>
      <c r="Y1615" s="786"/>
      <c r="Z1615" s="786"/>
      <c r="AA1615" s="786"/>
      <c r="AB1615" s="786"/>
      <c r="AC1615" s="786"/>
      <c r="AD1615" s="786"/>
      <c r="AE1615" s="786"/>
      <c r="AF1615" s="786"/>
      <c r="AG1615" s="786"/>
    </row>
    <row r="1616" spans="3:33" ht="30" hidden="1" customHeight="1">
      <c r="C1616" s="888" t="s">
        <v>1304</v>
      </c>
      <c r="D1616" s="889"/>
      <c r="E1616" s="889"/>
      <c r="F1616" s="889"/>
      <c r="G1616" s="889"/>
      <c r="H1616" s="889"/>
      <c r="I1616" s="889"/>
      <c r="J1616" s="889"/>
      <c r="K1616" s="889"/>
      <c r="L1616" s="890"/>
      <c r="M1616" s="786"/>
      <c r="N1616" s="786"/>
      <c r="O1616" s="786"/>
      <c r="P1616" s="786"/>
      <c r="Q1616" s="786"/>
      <c r="R1616" s="786"/>
      <c r="S1616" s="786"/>
      <c r="T1616" s="786"/>
      <c r="U1616" s="786"/>
      <c r="V1616" s="786"/>
      <c r="W1616" s="786"/>
      <c r="X1616" s="786"/>
      <c r="Y1616" s="786"/>
      <c r="Z1616" s="786"/>
      <c r="AA1616" s="786"/>
      <c r="AB1616" s="786"/>
      <c r="AC1616" s="786"/>
      <c r="AD1616" s="786"/>
      <c r="AE1616" s="786"/>
      <c r="AF1616" s="786"/>
      <c r="AG1616" s="786"/>
    </row>
    <row r="1617" spans="3:37" ht="30" hidden="1" customHeight="1">
      <c r="C1617" s="888" t="s">
        <v>1305</v>
      </c>
      <c r="D1617" s="889"/>
      <c r="E1617" s="889"/>
      <c r="F1617" s="889"/>
      <c r="G1617" s="889"/>
      <c r="H1617" s="889"/>
      <c r="I1617" s="889"/>
      <c r="J1617" s="889"/>
      <c r="K1617" s="889"/>
      <c r="L1617" s="890"/>
      <c r="M1617" s="786"/>
      <c r="N1617" s="786"/>
      <c r="O1617" s="786"/>
      <c r="P1617" s="786"/>
      <c r="Q1617" s="786"/>
      <c r="R1617" s="786"/>
      <c r="S1617" s="786"/>
      <c r="T1617" s="786"/>
      <c r="U1617" s="786"/>
      <c r="V1617" s="786"/>
      <c r="W1617" s="786"/>
      <c r="X1617" s="786"/>
      <c r="Y1617" s="786"/>
      <c r="Z1617" s="786"/>
      <c r="AA1617" s="786"/>
      <c r="AB1617" s="786"/>
      <c r="AC1617" s="786"/>
      <c r="AD1617" s="786"/>
      <c r="AE1617" s="786"/>
      <c r="AF1617" s="786"/>
      <c r="AG1617" s="786"/>
    </row>
    <row r="1618" spans="3:37" ht="30" hidden="1" customHeight="1">
      <c r="C1618" s="888"/>
      <c r="D1618" s="889"/>
      <c r="E1618" s="889"/>
      <c r="F1618" s="889"/>
      <c r="G1618" s="889"/>
      <c r="H1618" s="889"/>
      <c r="I1618" s="889"/>
      <c r="J1618" s="889"/>
      <c r="K1618" s="889"/>
      <c r="L1618" s="890"/>
      <c r="M1618" s="786"/>
      <c r="N1618" s="786"/>
      <c r="O1618" s="786"/>
      <c r="P1618" s="786"/>
      <c r="Q1618" s="786"/>
      <c r="R1618" s="786"/>
      <c r="S1618" s="786"/>
      <c r="T1618" s="786"/>
      <c r="U1618" s="786"/>
      <c r="V1618" s="786"/>
      <c r="W1618" s="786"/>
      <c r="X1618" s="786"/>
      <c r="Y1618" s="786"/>
      <c r="Z1618" s="786"/>
      <c r="AA1618" s="786"/>
      <c r="AB1618" s="786"/>
      <c r="AC1618" s="786"/>
      <c r="AD1618" s="786"/>
      <c r="AE1618" s="786"/>
      <c r="AF1618" s="786"/>
      <c r="AG1618" s="786"/>
    </row>
    <row r="1619" spans="3:37" ht="30" hidden="1" customHeight="1">
      <c r="C1619" s="888" t="s">
        <v>1306</v>
      </c>
      <c r="D1619" s="889"/>
      <c r="E1619" s="889"/>
      <c r="F1619" s="889"/>
      <c r="G1619" s="889"/>
      <c r="H1619" s="889"/>
      <c r="I1619" s="889"/>
      <c r="J1619" s="889"/>
      <c r="K1619" s="889"/>
      <c r="L1619" s="890"/>
      <c r="M1619" s="786"/>
      <c r="N1619" s="786"/>
      <c r="O1619" s="786"/>
      <c r="P1619" s="786"/>
      <c r="Q1619" s="786"/>
      <c r="R1619" s="786"/>
      <c r="S1619" s="786"/>
      <c r="T1619" s="786"/>
      <c r="U1619" s="786"/>
      <c r="V1619" s="786"/>
      <c r="W1619" s="786"/>
      <c r="X1619" s="786"/>
      <c r="Y1619" s="786"/>
      <c r="Z1619" s="786"/>
      <c r="AA1619" s="786"/>
      <c r="AB1619" s="786"/>
      <c r="AC1619" s="786"/>
      <c r="AD1619" s="786"/>
      <c r="AE1619" s="786"/>
      <c r="AF1619" s="786"/>
      <c r="AG1619" s="786"/>
    </row>
    <row r="1620" spans="3:37" ht="30" hidden="1" customHeight="1">
      <c r="C1620" s="888"/>
      <c r="D1620" s="889"/>
      <c r="E1620" s="889"/>
      <c r="F1620" s="889"/>
      <c r="G1620" s="889"/>
      <c r="H1620" s="889"/>
      <c r="I1620" s="889"/>
      <c r="J1620" s="889"/>
      <c r="K1620" s="889"/>
      <c r="L1620" s="890"/>
      <c r="M1620" s="786"/>
      <c r="N1620" s="786"/>
      <c r="O1620" s="786"/>
      <c r="P1620" s="786"/>
      <c r="Q1620" s="786"/>
      <c r="R1620" s="786"/>
      <c r="S1620" s="786"/>
      <c r="T1620" s="786"/>
      <c r="U1620" s="786"/>
      <c r="V1620" s="786"/>
      <c r="W1620" s="786"/>
      <c r="X1620" s="786"/>
      <c r="Y1620" s="786"/>
      <c r="Z1620" s="786"/>
      <c r="AA1620" s="786"/>
      <c r="AB1620" s="786"/>
      <c r="AC1620" s="786"/>
      <c r="AD1620" s="786"/>
      <c r="AE1620" s="786"/>
      <c r="AF1620" s="786"/>
      <c r="AG1620" s="786"/>
    </row>
    <row r="1621" spans="3:37" ht="30" hidden="1" customHeight="1">
      <c r="C1621" s="888" t="s">
        <v>1307</v>
      </c>
      <c r="D1621" s="889"/>
      <c r="E1621" s="889"/>
      <c r="F1621" s="889"/>
      <c r="G1621" s="889"/>
      <c r="H1621" s="889"/>
      <c r="I1621" s="889"/>
      <c r="J1621" s="889"/>
      <c r="K1621" s="889"/>
      <c r="L1621" s="890"/>
      <c r="M1621" s="786"/>
      <c r="N1621" s="786"/>
      <c r="O1621" s="786"/>
      <c r="P1621" s="786"/>
      <c r="Q1621" s="786"/>
      <c r="R1621" s="786"/>
      <c r="S1621" s="786"/>
      <c r="T1621" s="786"/>
      <c r="U1621" s="786"/>
      <c r="V1621" s="786"/>
      <c r="W1621" s="786"/>
      <c r="X1621" s="786"/>
      <c r="Y1621" s="786"/>
      <c r="Z1621" s="786"/>
      <c r="AA1621" s="786"/>
      <c r="AB1621" s="786"/>
      <c r="AC1621" s="786"/>
      <c r="AD1621" s="786"/>
      <c r="AE1621" s="786"/>
      <c r="AF1621" s="786"/>
      <c r="AG1621" s="786"/>
    </row>
    <row r="1622" spans="3:37" hidden="1">
      <c r="C1622" s="458"/>
      <c r="D1622" s="458"/>
      <c r="E1622" s="458"/>
      <c r="F1622" s="458"/>
      <c r="G1622" s="458"/>
      <c r="H1622" s="458"/>
      <c r="I1622" s="458"/>
      <c r="J1622" s="458"/>
      <c r="K1622" s="458"/>
      <c r="L1622" s="458"/>
    </row>
    <row r="1624" spans="3:37">
      <c r="C1624" s="883" t="s">
        <v>1308</v>
      </c>
      <c r="D1624" s="883"/>
      <c r="E1624" s="883"/>
      <c r="F1624" s="883"/>
      <c r="G1624" s="883"/>
      <c r="H1624" s="883"/>
      <c r="I1624" s="883"/>
      <c r="J1624" s="883"/>
      <c r="K1624" s="883"/>
      <c r="L1624" s="883"/>
      <c r="M1624" s="883"/>
      <c r="N1624" s="883"/>
      <c r="O1624" s="883"/>
      <c r="P1624" s="883"/>
      <c r="Q1624" s="883"/>
      <c r="R1624" s="883"/>
      <c r="S1624" s="883"/>
      <c r="T1624" s="883"/>
      <c r="U1624" s="883"/>
      <c r="V1624" s="883"/>
      <c r="W1624" s="883"/>
      <c r="X1624" s="883"/>
      <c r="Y1624" s="883"/>
    </row>
    <row r="1626" spans="3:37" ht="22.5" customHeight="1">
      <c r="C1626" s="803" t="s">
        <v>1309</v>
      </c>
      <c r="D1626" s="803"/>
      <c r="E1626" s="803"/>
      <c r="F1626" s="803"/>
      <c r="G1626" s="803"/>
      <c r="H1626" s="803"/>
      <c r="I1626" s="803"/>
      <c r="J1626" s="803"/>
      <c r="K1626" s="803"/>
      <c r="L1626" s="803"/>
      <c r="M1626" s="803"/>
      <c r="N1626" s="803"/>
      <c r="O1626" s="803"/>
      <c r="P1626" s="803"/>
      <c r="Q1626" s="803"/>
      <c r="R1626" s="803"/>
      <c r="S1626" s="885">
        <f>+'1.Project Cost and MOF (2)'!D29</f>
        <v>0.17998965270897771</v>
      </c>
      <c r="T1626" s="729"/>
      <c r="U1626" s="729"/>
      <c r="V1626" s="729"/>
      <c r="W1626" s="729"/>
      <c r="X1626" s="729"/>
    </row>
    <row r="1627" spans="3:37" ht="22.5" customHeight="1">
      <c r="C1627" s="803" t="s">
        <v>1310</v>
      </c>
      <c r="D1627" s="803"/>
      <c r="E1627" s="803"/>
      <c r="F1627" s="803"/>
      <c r="G1627" s="803"/>
      <c r="H1627" s="803"/>
      <c r="I1627" s="803"/>
      <c r="J1627" s="803"/>
      <c r="K1627" s="803"/>
      <c r="L1627" s="803"/>
      <c r="M1627" s="803"/>
      <c r="N1627" s="803"/>
      <c r="O1627" s="803"/>
      <c r="P1627" s="803"/>
      <c r="Q1627" s="803"/>
      <c r="R1627" s="803"/>
      <c r="S1627" s="884">
        <f>+'1.Project Cost and MOF (2)'!D31</f>
        <v>2495928.6203324869</v>
      </c>
      <c r="T1627" s="729"/>
      <c r="U1627" s="729"/>
      <c r="V1627" s="729"/>
      <c r="W1627" s="729"/>
      <c r="X1627" s="729"/>
    </row>
    <row r="1628" spans="3:37" ht="22.5" customHeight="1">
      <c r="C1628" s="803" t="s">
        <v>1311</v>
      </c>
      <c r="D1628" s="803"/>
      <c r="E1628" s="803"/>
      <c r="F1628" s="803"/>
      <c r="G1628" s="803"/>
      <c r="H1628" s="803"/>
      <c r="I1628" s="803"/>
      <c r="J1628" s="803"/>
      <c r="K1628" s="803"/>
      <c r="L1628" s="803"/>
      <c r="M1628" s="803"/>
      <c r="N1628" s="803"/>
      <c r="O1628" s="803"/>
      <c r="P1628" s="803"/>
      <c r="Q1628" s="803"/>
      <c r="R1628" s="803"/>
      <c r="S1628" s="885">
        <f>+'1.Project Cost and MOF (2)'!D30</f>
        <v>0.1160983927476209</v>
      </c>
      <c r="T1628" s="729"/>
      <c r="U1628" s="729"/>
      <c r="V1628" s="729"/>
      <c r="W1628" s="729"/>
      <c r="X1628" s="729"/>
    </row>
    <row r="1629" spans="3:37" ht="22.5" customHeight="1">
      <c r="C1629" s="803" t="s">
        <v>1312</v>
      </c>
      <c r="D1629" s="803"/>
      <c r="E1629" s="803"/>
      <c r="F1629" s="803"/>
      <c r="G1629" s="803"/>
      <c r="H1629" s="803"/>
      <c r="I1629" s="803"/>
      <c r="J1629" s="803"/>
      <c r="K1629" s="803"/>
      <c r="L1629" s="803"/>
      <c r="M1629" s="803"/>
      <c r="N1629" s="803"/>
      <c r="O1629" s="803"/>
      <c r="P1629" s="803"/>
      <c r="Q1629" s="803"/>
      <c r="R1629" s="803"/>
      <c r="S1629" s="886">
        <f>+'1.Project Cost and MOF (2)'!D32</f>
        <v>5.0743386616228197</v>
      </c>
      <c r="T1629" s="886"/>
      <c r="U1629" s="886"/>
      <c r="V1629" s="886"/>
      <c r="W1629" s="886"/>
      <c r="X1629" s="886"/>
      <c r="AC1629" s="891">
        <f>+'9. Financial indiacators'!L83</f>
        <v>7194425.2584144836</v>
      </c>
      <c r="AD1629" s="729"/>
      <c r="AE1629" s="729"/>
      <c r="AF1629" s="729"/>
      <c r="AG1629" s="729"/>
      <c r="AH1629" s="729" t="s">
        <v>1519</v>
      </c>
      <c r="AI1629" s="729"/>
      <c r="AJ1629" s="729"/>
      <c r="AK1629" s="729"/>
    </row>
    <row r="1630" spans="3:37" ht="22.5" customHeight="1">
      <c r="C1630" s="803" t="s">
        <v>1313</v>
      </c>
      <c r="D1630" s="803"/>
      <c r="E1630" s="803"/>
      <c r="F1630" s="803"/>
      <c r="G1630" s="803"/>
      <c r="H1630" s="803"/>
      <c r="I1630" s="803"/>
      <c r="J1630" s="803"/>
      <c r="K1630" s="803"/>
      <c r="L1630" s="803"/>
      <c r="M1630" s="803"/>
      <c r="N1630" s="803"/>
      <c r="O1630" s="803"/>
      <c r="P1630" s="803"/>
      <c r="Q1630" s="803"/>
      <c r="R1630" s="803"/>
      <c r="S1630" s="887">
        <f>+AC1630/AC1629</f>
        <v>0.67514143570950247</v>
      </c>
      <c r="T1630" s="887"/>
      <c r="U1630" s="887"/>
      <c r="V1630" s="887"/>
      <c r="W1630" s="887"/>
      <c r="X1630" s="887"/>
      <c r="AC1630" s="891">
        <f>+'1.Project Cost and MOF (2)'!F21</f>
        <v>4857254.5980706625</v>
      </c>
      <c r="AD1630" s="891"/>
      <c r="AE1630" s="891"/>
      <c r="AF1630" s="891"/>
      <c r="AH1630" s="729" t="s">
        <v>1520</v>
      </c>
      <c r="AI1630" s="729"/>
      <c r="AJ1630" s="729"/>
      <c r="AK1630" s="729"/>
    </row>
    <row r="1631" spans="3:37" ht="22.5" customHeight="1">
      <c r="C1631" s="803" t="s">
        <v>1314</v>
      </c>
      <c r="D1631" s="803"/>
      <c r="E1631" s="803"/>
      <c r="F1631" s="803"/>
      <c r="G1631" s="803"/>
      <c r="H1631" s="803"/>
      <c r="I1631" s="803"/>
      <c r="J1631" s="803"/>
      <c r="K1631" s="803"/>
      <c r="L1631" s="803"/>
      <c r="M1631" s="803"/>
      <c r="N1631" s="803"/>
      <c r="O1631" s="803"/>
      <c r="P1631" s="803"/>
      <c r="Q1631" s="803"/>
      <c r="R1631" s="803"/>
      <c r="S1631" s="886">
        <f>+'1.Project Cost and MOF (2)'!D33</f>
        <v>2.7936058573409057</v>
      </c>
      <c r="T1631" s="886"/>
      <c r="U1631" s="886"/>
      <c r="V1631" s="886"/>
      <c r="W1631" s="886"/>
      <c r="X1631" s="886"/>
    </row>
    <row r="1632" spans="3:37" ht="22.5" customHeight="1">
      <c r="C1632" s="803" t="s">
        <v>1315</v>
      </c>
      <c r="D1632" s="803"/>
      <c r="E1632" s="803"/>
      <c r="F1632" s="803"/>
      <c r="G1632" s="803"/>
      <c r="H1632" s="803"/>
      <c r="I1632" s="803"/>
      <c r="J1632" s="803"/>
      <c r="K1632" s="803"/>
      <c r="L1632" s="803"/>
      <c r="M1632" s="803"/>
      <c r="N1632" s="803"/>
      <c r="O1632" s="803"/>
      <c r="P1632" s="803"/>
      <c r="Q1632" s="803"/>
      <c r="R1632" s="803"/>
      <c r="S1632" s="887">
        <f>+'1.Project Cost and MOF (2)'!D28</f>
        <v>0.42973211645471265</v>
      </c>
      <c r="T1632" s="887"/>
      <c r="U1632" s="887"/>
      <c r="V1632" s="887"/>
      <c r="W1632" s="887"/>
      <c r="X1632" s="887"/>
    </row>
    <row r="1633" spans="3:24" ht="22.5" customHeight="1">
      <c r="C1633" s="803" t="s">
        <v>1316</v>
      </c>
      <c r="D1633" s="803"/>
      <c r="E1633" s="803"/>
      <c r="F1633" s="803"/>
      <c r="G1633" s="803"/>
      <c r="H1633" s="803"/>
      <c r="I1633" s="803"/>
      <c r="J1633" s="803"/>
      <c r="K1633" s="803"/>
      <c r="L1633" s="803"/>
      <c r="M1633" s="803"/>
      <c r="N1633" s="803"/>
      <c r="O1633" s="803"/>
      <c r="P1633" s="803"/>
      <c r="Q1633" s="803"/>
      <c r="R1633" s="803"/>
      <c r="S1633" s="886"/>
      <c r="T1633" s="886"/>
      <c r="U1633" s="886"/>
      <c r="V1633" s="886"/>
      <c r="W1633" s="886"/>
      <c r="X1633" s="886"/>
    </row>
    <row r="1634" spans="3:24">
      <c r="C1634" s="803"/>
      <c r="D1634" s="803"/>
      <c r="E1634" s="803"/>
      <c r="F1634" s="803"/>
      <c r="G1634" s="803"/>
      <c r="H1634" s="803"/>
      <c r="I1634" s="803"/>
      <c r="J1634" s="803"/>
      <c r="K1634" s="803"/>
      <c r="L1634" s="803"/>
      <c r="M1634" s="803"/>
      <c r="N1634" s="803"/>
      <c r="O1634" s="803"/>
      <c r="P1634" s="803"/>
      <c r="Q1634" s="803"/>
      <c r="R1634" s="803"/>
      <c r="S1634" s="729"/>
      <c r="T1634" s="729"/>
      <c r="U1634" s="729"/>
      <c r="V1634" s="729"/>
      <c r="W1634" s="729"/>
      <c r="X1634" s="729"/>
    </row>
    <row r="1635" spans="3:24">
      <c r="C1635" s="448"/>
      <c r="D1635" s="448"/>
      <c r="E1635" s="448"/>
      <c r="F1635" s="448"/>
      <c r="G1635" s="448"/>
      <c r="H1635" s="448"/>
      <c r="I1635" s="448"/>
      <c r="J1635" s="448"/>
      <c r="K1635" s="448"/>
      <c r="L1635" s="448"/>
      <c r="M1635" s="448"/>
      <c r="N1635" s="448"/>
      <c r="O1635" s="448"/>
      <c r="P1635" s="448"/>
      <c r="Q1635" s="448"/>
      <c r="R1635" s="448"/>
      <c r="S1635" s="12"/>
      <c r="T1635" s="12"/>
      <c r="U1635" s="12"/>
      <c r="V1635" s="12"/>
      <c r="W1635" s="12"/>
      <c r="X1635" s="12"/>
    </row>
    <row r="1636" spans="3:24">
      <c r="C1636" s="448"/>
      <c r="D1636" s="448"/>
      <c r="E1636" s="448"/>
      <c r="F1636" s="448"/>
      <c r="G1636" s="448"/>
      <c r="H1636" s="448"/>
      <c r="I1636" s="448"/>
      <c r="J1636" s="448"/>
      <c r="K1636" s="448"/>
      <c r="L1636" s="448"/>
      <c r="M1636" s="448"/>
      <c r="N1636" s="448"/>
      <c r="O1636" s="448"/>
      <c r="P1636" s="448"/>
      <c r="Q1636" s="448"/>
      <c r="R1636" s="448"/>
      <c r="S1636" s="12"/>
      <c r="T1636" s="12"/>
      <c r="U1636" s="12"/>
      <c r="V1636" s="12"/>
      <c r="W1636" s="12"/>
      <c r="X1636" s="12"/>
    </row>
    <row r="1637" spans="3:24">
      <c r="C1637" s="448"/>
      <c r="D1637" s="448"/>
      <c r="E1637" s="448"/>
      <c r="F1637" s="448"/>
      <c r="G1637" s="448"/>
      <c r="H1637" s="448"/>
      <c r="I1637" s="448"/>
      <c r="J1637" s="448"/>
      <c r="K1637" s="448"/>
      <c r="L1637" s="448"/>
      <c r="M1637" s="448"/>
      <c r="N1637" s="448"/>
      <c r="O1637" s="448"/>
      <c r="P1637" s="448"/>
      <c r="Q1637" s="448"/>
      <c r="R1637" s="448"/>
      <c r="S1637" s="12"/>
      <c r="T1637" s="12"/>
      <c r="U1637" s="12"/>
      <c r="V1637" s="12"/>
      <c r="W1637" s="12"/>
      <c r="X1637" s="12"/>
    </row>
    <row r="1638" spans="3:24">
      <c r="C1638" s="448"/>
      <c r="D1638" s="448"/>
      <c r="E1638" s="448"/>
      <c r="F1638" s="448"/>
      <c r="G1638" s="448"/>
      <c r="H1638" s="448"/>
      <c r="I1638" s="448"/>
      <c r="J1638" s="448"/>
      <c r="K1638" s="448"/>
      <c r="L1638" s="448"/>
      <c r="M1638" s="448"/>
      <c r="N1638" s="448"/>
      <c r="O1638" s="448"/>
      <c r="P1638" s="448"/>
      <c r="Q1638" s="448"/>
      <c r="R1638" s="448"/>
      <c r="S1638" s="12"/>
      <c r="T1638" s="12"/>
      <c r="U1638" s="12"/>
      <c r="V1638" s="12"/>
      <c r="W1638" s="12"/>
      <c r="X1638" s="12"/>
    </row>
    <row r="1639" spans="3:24">
      <c r="C1639" s="448"/>
      <c r="D1639" s="448"/>
      <c r="E1639" s="448"/>
      <c r="F1639" s="448"/>
      <c r="G1639" s="448"/>
      <c r="H1639" s="448"/>
      <c r="I1639" s="448"/>
      <c r="J1639" s="448"/>
      <c r="K1639" s="448"/>
      <c r="L1639" s="448"/>
      <c r="M1639" s="448"/>
      <c r="N1639" s="448"/>
      <c r="O1639" s="448"/>
      <c r="P1639" s="448"/>
      <c r="Q1639" s="448"/>
      <c r="R1639" s="448"/>
      <c r="S1639" s="12"/>
      <c r="T1639" s="12"/>
      <c r="U1639" s="12"/>
      <c r="V1639" s="12"/>
      <c r="W1639" s="12"/>
      <c r="X1639" s="12"/>
    </row>
    <row r="1640" spans="3:24">
      <c r="C1640" s="448"/>
      <c r="D1640" s="448"/>
      <c r="E1640" s="448"/>
      <c r="F1640" s="448"/>
      <c r="G1640" s="448"/>
      <c r="H1640" s="448"/>
      <c r="I1640" s="448"/>
      <c r="J1640" s="448"/>
      <c r="K1640" s="448"/>
      <c r="L1640" s="448"/>
      <c r="M1640" s="448"/>
      <c r="N1640" s="448"/>
      <c r="O1640" s="448"/>
      <c r="P1640" s="448"/>
      <c r="Q1640" s="448"/>
      <c r="R1640" s="448"/>
      <c r="S1640" s="12"/>
      <c r="T1640" s="12"/>
      <c r="U1640" s="12"/>
      <c r="V1640" s="12"/>
      <c r="W1640" s="12"/>
      <c r="X1640" s="12"/>
    </row>
    <row r="1641" spans="3:24">
      <c r="C1641" s="448"/>
      <c r="D1641" s="448"/>
      <c r="E1641" s="448"/>
      <c r="F1641" s="448"/>
      <c r="G1641" s="448"/>
      <c r="H1641" s="448"/>
      <c r="I1641" s="448"/>
      <c r="J1641" s="448"/>
      <c r="K1641" s="448"/>
      <c r="L1641" s="448"/>
      <c r="M1641" s="448"/>
      <c r="N1641" s="448"/>
      <c r="O1641" s="448"/>
      <c r="P1641" s="448"/>
      <c r="Q1641" s="448"/>
      <c r="R1641" s="448"/>
      <c r="S1641" s="12"/>
      <c r="T1641" s="12"/>
      <c r="U1641" s="12"/>
      <c r="V1641" s="12"/>
      <c r="W1641" s="12"/>
      <c r="X1641" s="12"/>
    </row>
    <row r="1642" spans="3:24">
      <c r="C1642" s="448"/>
      <c r="D1642" s="448"/>
      <c r="E1642" s="448"/>
      <c r="F1642" s="448"/>
      <c r="G1642" s="448"/>
      <c r="H1642" s="448"/>
      <c r="I1642" s="448"/>
      <c r="J1642" s="448"/>
      <c r="K1642" s="448"/>
      <c r="L1642" s="448"/>
      <c r="M1642" s="448"/>
      <c r="N1642" s="448"/>
      <c r="O1642" s="448"/>
      <c r="P1642" s="448"/>
      <c r="Q1642" s="448"/>
      <c r="R1642" s="448"/>
      <c r="S1642" s="12"/>
      <c r="T1642" s="12"/>
      <c r="U1642" s="12"/>
      <c r="V1642" s="12"/>
      <c r="W1642" s="12"/>
      <c r="X1642" s="12"/>
    </row>
    <row r="1643" spans="3:24">
      <c r="C1643" s="448"/>
      <c r="D1643" s="448"/>
      <c r="E1643" s="448"/>
      <c r="F1643" s="448"/>
      <c r="G1643" s="448"/>
      <c r="H1643" s="448"/>
      <c r="I1643" s="448"/>
      <c r="J1643" s="448"/>
      <c r="K1643" s="448"/>
      <c r="L1643" s="448"/>
      <c r="M1643" s="448"/>
      <c r="N1643" s="448"/>
      <c r="O1643" s="448"/>
      <c r="P1643" s="448"/>
      <c r="Q1643" s="448"/>
      <c r="R1643" s="448"/>
      <c r="S1643" s="12"/>
      <c r="T1643" s="12"/>
      <c r="U1643" s="12"/>
      <c r="V1643" s="12"/>
      <c r="W1643" s="12"/>
      <c r="X1643" s="12"/>
    </row>
    <row r="1644" spans="3:24">
      <c r="C1644" s="448"/>
      <c r="D1644" s="448"/>
      <c r="E1644" s="448"/>
      <c r="F1644" s="448"/>
      <c r="G1644" s="448"/>
      <c r="H1644" s="448"/>
      <c r="I1644" s="448"/>
      <c r="J1644" s="448"/>
      <c r="K1644" s="448"/>
      <c r="L1644" s="448"/>
      <c r="M1644" s="448"/>
      <c r="N1644" s="448"/>
      <c r="O1644" s="448"/>
      <c r="P1644" s="448"/>
      <c r="Q1644" s="448"/>
      <c r="R1644" s="448"/>
      <c r="S1644" s="12"/>
      <c r="T1644" s="12"/>
      <c r="U1644" s="12"/>
      <c r="V1644" s="12"/>
      <c r="W1644" s="12"/>
      <c r="X1644" s="12"/>
    </row>
    <row r="1645" spans="3:24">
      <c r="C1645" s="448"/>
      <c r="D1645" s="448"/>
      <c r="E1645" s="448"/>
      <c r="F1645" s="448"/>
      <c r="G1645" s="448"/>
      <c r="H1645" s="448"/>
      <c r="I1645" s="448"/>
      <c r="J1645" s="448"/>
      <c r="K1645" s="448"/>
      <c r="L1645" s="448"/>
      <c r="M1645" s="448"/>
      <c r="N1645" s="448"/>
      <c r="O1645" s="448"/>
      <c r="P1645" s="448"/>
      <c r="Q1645" s="448"/>
      <c r="R1645" s="448"/>
      <c r="S1645" s="12"/>
      <c r="T1645" s="12"/>
      <c r="U1645" s="12"/>
      <c r="V1645" s="12"/>
      <c r="W1645" s="12"/>
      <c r="X1645" s="12"/>
    </row>
    <row r="1646" spans="3:24">
      <c r="C1646" s="448"/>
      <c r="D1646" s="448"/>
      <c r="E1646" s="448"/>
      <c r="F1646" s="448"/>
      <c r="G1646" s="448"/>
      <c r="H1646" s="448"/>
      <c r="I1646" s="448"/>
      <c r="J1646" s="448"/>
      <c r="K1646" s="448"/>
      <c r="L1646" s="448"/>
      <c r="M1646" s="448"/>
      <c r="N1646" s="448"/>
      <c r="O1646" s="448"/>
      <c r="P1646" s="448"/>
      <c r="Q1646" s="448"/>
      <c r="R1646" s="448"/>
      <c r="S1646" s="12"/>
      <c r="T1646" s="12"/>
      <c r="U1646" s="12"/>
      <c r="V1646" s="12"/>
      <c r="W1646" s="12"/>
      <c r="X1646" s="12"/>
    </row>
    <row r="1647" spans="3:24">
      <c r="C1647" s="448"/>
      <c r="D1647" s="448"/>
      <c r="E1647" s="448"/>
      <c r="F1647" s="448"/>
      <c r="G1647" s="448"/>
      <c r="H1647" s="448"/>
      <c r="I1647" s="448"/>
      <c r="J1647" s="448"/>
      <c r="K1647" s="448"/>
      <c r="L1647" s="448"/>
      <c r="M1647" s="448"/>
      <c r="N1647" s="448"/>
      <c r="O1647" s="448"/>
      <c r="P1647" s="448"/>
      <c r="Q1647" s="448"/>
      <c r="R1647" s="448"/>
      <c r="S1647" s="12"/>
      <c r="T1647" s="12"/>
      <c r="U1647" s="12"/>
      <c r="V1647" s="12"/>
      <c r="W1647" s="12"/>
      <c r="X1647" s="12"/>
    </row>
    <row r="1648" spans="3:24">
      <c r="C1648" s="448"/>
      <c r="D1648" s="448"/>
      <c r="E1648" s="448"/>
      <c r="F1648" s="448"/>
      <c r="G1648" s="448"/>
      <c r="H1648" s="448"/>
      <c r="I1648" s="448"/>
      <c r="J1648" s="448"/>
      <c r="K1648" s="448"/>
      <c r="L1648" s="448"/>
      <c r="M1648" s="448"/>
      <c r="N1648" s="448"/>
      <c r="O1648" s="448"/>
      <c r="P1648" s="448"/>
      <c r="Q1648" s="448"/>
      <c r="R1648" s="448"/>
      <c r="S1648" s="12"/>
      <c r="T1648" s="12"/>
      <c r="U1648" s="12"/>
      <c r="V1648" s="12"/>
      <c r="W1648" s="12"/>
      <c r="X1648" s="12"/>
    </row>
    <row r="1649" spans="3:24">
      <c r="C1649" s="448"/>
      <c r="D1649" s="448"/>
      <c r="E1649" s="448"/>
      <c r="F1649" s="448"/>
      <c r="G1649" s="448"/>
      <c r="H1649" s="448"/>
      <c r="I1649" s="448"/>
      <c r="J1649" s="448"/>
      <c r="K1649" s="448"/>
      <c r="L1649" s="448"/>
      <c r="M1649" s="448"/>
      <c r="N1649" s="448"/>
      <c r="O1649" s="448"/>
      <c r="P1649" s="448"/>
      <c r="Q1649" s="448"/>
      <c r="R1649" s="448"/>
      <c r="S1649" s="12"/>
      <c r="T1649" s="12"/>
      <c r="U1649" s="12"/>
      <c r="V1649" s="12"/>
      <c r="W1649" s="12"/>
      <c r="X1649" s="12"/>
    </row>
    <row r="1650" spans="3:24">
      <c r="C1650" s="448"/>
      <c r="D1650" s="448"/>
      <c r="E1650" s="448"/>
      <c r="F1650" s="448"/>
      <c r="G1650" s="448"/>
      <c r="H1650" s="448"/>
      <c r="I1650" s="448"/>
      <c r="J1650" s="448"/>
      <c r="K1650" s="448"/>
      <c r="L1650" s="448"/>
      <c r="M1650" s="448"/>
      <c r="N1650" s="448"/>
      <c r="O1650" s="448"/>
      <c r="P1650" s="448"/>
      <c r="Q1650" s="448"/>
      <c r="R1650" s="448"/>
      <c r="S1650" s="12"/>
      <c r="T1650" s="12"/>
      <c r="U1650" s="12"/>
      <c r="V1650" s="12"/>
      <c r="W1650" s="12"/>
      <c r="X1650" s="12"/>
    </row>
    <row r="1651" spans="3:24">
      <c r="C1651" s="448"/>
      <c r="D1651" s="448"/>
      <c r="E1651" s="448"/>
      <c r="F1651" s="448"/>
      <c r="G1651" s="448"/>
      <c r="H1651" s="448"/>
      <c r="I1651" s="448"/>
      <c r="J1651" s="448"/>
      <c r="K1651" s="448"/>
      <c r="L1651" s="448"/>
      <c r="M1651" s="448"/>
      <c r="N1651" s="448"/>
      <c r="O1651" s="448"/>
      <c r="P1651" s="448"/>
      <c r="Q1651" s="448"/>
      <c r="R1651" s="448"/>
      <c r="S1651" s="12"/>
      <c r="T1651" s="12"/>
      <c r="U1651" s="12"/>
      <c r="V1651" s="12"/>
      <c r="W1651" s="12"/>
      <c r="X1651" s="12"/>
    </row>
    <row r="1652" spans="3:24">
      <c r="C1652" s="448"/>
      <c r="D1652" s="448"/>
      <c r="E1652" s="448"/>
      <c r="F1652" s="448"/>
      <c r="G1652" s="448"/>
      <c r="H1652" s="448"/>
      <c r="I1652" s="448"/>
      <c r="J1652" s="448"/>
      <c r="K1652" s="448"/>
      <c r="L1652" s="448"/>
      <c r="M1652" s="448"/>
      <c r="N1652" s="448"/>
      <c r="O1652" s="448"/>
      <c r="P1652" s="448"/>
      <c r="Q1652" s="448"/>
      <c r="R1652" s="448"/>
      <c r="S1652" s="12"/>
      <c r="T1652" s="12"/>
      <c r="U1652" s="12"/>
      <c r="V1652" s="12"/>
      <c r="W1652" s="12"/>
      <c r="X1652" s="12"/>
    </row>
    <row r="1653" spans="3:24">
      <c r="C1653" s="448"/>
      <c r="D1653" s="448"/>
      <c r="E1653" s="448"/>
      <c r="F1653" s="448"/>
      <c r="G1653" s="448"/>
      <c r="H1653" s="448"/>
      <c r="I1653" s="448"/>
      <c r="J1653" s="448"/>
      <c r="K1653" s="448"/>
      <c r="L1653" s="448"/>
      <c r="M1653" s="448"/>
      <c r="N1653" s="448"/>
      <c r="O1653" s="448"/>
      <c r="P1653" s="448"/>
      <c r="Q1653" s="448"/>
      <c r="R1653" s="448"/>
      <c r="S1653" s="12"/>
      <c r="T1653" s="12"/>
      <c r="U1653" s="12"/>
      <c r="V1653" s="12"/>
      <c r="W1653" s="12"/>
      <c r="X1653" s="12"/>
    </row>
    <row r="1654" spans="3:24">
      <c r="C1654" s="448"/>
      <c r="D1654" s="448"/>
      <c r="E1654" s="448"/>
      <c r="F1654" s="448"/>
      <c r="G1654" s="448"/>
      <c r="H1654" s="448"/>
      <c r="I1654" s="448"/>
      <c r="J1654" s="448"/>
      <c r="K1654" s="448"/>
      <c r="L1654" s="448"/>
      <c r="M1654" s="448"/>
      <c r="N1654" s="448"/>
      <c r="O1654" s="448"/>
      <c r="P1654" s="448"/>
      <c r="Q1654" s="448"/>
      <c r="R1654" s="448"/>
      <c r="S1654" s="12"/>
      <c r="T1654" s="12"/>
      <c r="U1654" s="12"/>
      <c r="V1654" s="12"/>
      <c r="W1654" s="12"/>
      <c r="X1654" s="12"/>
    </row>
    <row r="1655" spans="3:24">
      <c r="C1655" s="448"/>
      <c r="D1655" s="448"/>
      <c r="E1655" s="448"/>
      <c r="F1655" s="448"/>
      <c r="G1655" s="448"/>
      <c r="H1655" s="448"/>
      <c r="I1655" s="448"/>
      <c r="J1655" s="448"/>
      <c r="K1655" s="448"/>
      <c r="L1655" s="448"/>
      <c r="M1655" s="448"/>
      <c r="N1655" s="448"/>
      <c r="O1655" s="448"/>
      <c r="P1655" s="448"/>
      <c r="Q1655" s="448"/>
      <c r="R1655" s="448"/>
      <c r="S1655" s="12"/>
      <c r="T1655" s="12"/>
      <c r="U1655" s="12"/>
      <c r="V1655" s="12"/>
      <c r="W1655" s="12"/>
      <c r="X1655" s="12"/>
    </row>
    <row r="1656" spans="3:24">
      <c r="C1656" s="448"/>
      <c r="D1656" s="448"/>
      <c r="E1656" s="448"/>
      <c r="F1656" s="448"/>
      <c r="G1656" s="448"/>
      <c r="H1656" s="448"/>
      <c r="I1656" s="448"/>
      <c r="J1656" s="448"/>
      <c r="K1656" s="448"/>
      <c r="L1656" s="448"/>
      <c r="M1656" s="448"/>
      <c r="N1656" s="448"/>
      <c r="O1656" s="448"/>
      <c r="P1656" s="448"/>
      <c r="Q1656" s="448"/>
      <c r="R1656" s="448"/>
      <c r="S1656" s="12"/>
      <c r="T1656" s="12"/>
      <c r="U1656" s="12"/>
      <c r="V1656" s="12"/>
      <c r="W1656" s="12"/>
      <c r="X1656" s="12"/>
    </row>
    <row r="1657" spans="3:24">
      <c r="C1657" s="448"/>
      <c r="D1657" s="448"/>
      <c r="E1657" s="448"/>
      <c r="F1657" s="448"/>
      <c r="G1657" s="448"/>
      <c r="H1657" s="448"/>
      <c r="I1657" s="448"/>
      <c r="J1657" s="448"/>
      <c r="K1657" s="448"/>
      <c r="L1657" s="448"/>
      <c r="M1657" s="448"/>
      <c r="N1657" s="448"/>
      <c r="O1657" s="448"/>
      <c r="P1657" s="448"/>
      <c r="Q1657" s="448"/>
      <c r="R1657" s="448"/>
      <c r="S1657" s="12"/>
      <c r="T1657" s="12"/>
      <c r="U1657" s="12"/>
      <c r="V1657" s="12"/>
      <c r="W1657" s="12"/>
      <c r="X1657" s="12"/>
    </row>
    <row r="1658" spans="3:24">
      <c r="C1658" s="448"/>
      <c r="D1658" s="448"/>
      <c r="E1658" s="448"/>
      <c r="F1658" s="448"/>
      <c r="G1658" s="448"/>
      <c r="H1658" s="448"/>
      <c r="I1658" s="448"/>
      <c r="J1658" s="448"/>
      <c r="K1658" s="448"/>
      <c r="L1658" s="448"/>
      <c r="M1658" s="448"/>
      <c r="N1658" s="448"/>
      <c r="O1658" s="448"/>
      <c r="P1658" s="448"/>
      <c r="Q1658" s="448"/>
      <c r="R1658" s="448"/>
      <c r="S1658" s="12"/>
      <c r="T1658" s="12"/>
      <c r="U1658" s="12"/>
      <c r="V1658" s="12"/>
      <c r="W1658" s="12"/>
      <c r="X1658" s="12"/>
    </row>
    <row r="1659" spans="3:24">
      <c r="C1659" s="448"/>
      <c r="D1659" s="448"/>
      <c r="E1659" s="448"/>
      <c r="F1659" s="448"/>
      <c r="G1659" s="448"/>
      <c r="H1659" s="448"/>
      <c r="I1659" s="448"/>
      <c r="J1659" s="448"/>
      <c r="K1659" s="448"/>
      <c r="L1659" s="448"/>
      <c r="M1659" s="448"/>
      <c r="N1659" s="448"/>
      <c r="O1659" s="448"/>
      <c r="P1659" s="448"/>
      <c r="Q1659" s="448"/>
      <c r="R1659" s="448"/>
      <c r="S1659" s="12"/>
      <c r="T1659" s="12"/>
      <c r="U1659" s="12"/>
      <c r="V1659" s="12"/>
      <c r="W1659" s="12"/>
      <c r="X1659" s="12"/>
    </row>
    <row r="1660" spans="3:24">
      <c r="C1660" s="448"/>
      <c r="D1660" s="448"/>
      <c r="E1660" s="448"/>
      <c r="F1660" s="448"/>
      <c r="G1660" s="448"/>
      <c r="H1660" s="448"/>
      <c r="I1660" s="448"/>
      <c r="J1660" s="448"/>
      <c r="K1660" s="448"/>
      <c r="L1660" s="448"/>
      <c r="M1660" s="448"/>
      <c r="N1660" s="448"/>
      <c r="O1660" s="448"/>
      <c r="P1660" s="448"/>
      <c r="Q1660" s="448"/>
      <c r="R1660" s="448"/>
      <c r="S1660" s="12"/>
      <c r="T1660" s="12"/>
      <c r="U1660" s="12"/>
      <c r="V1660" s="12"/>
      <c r="W1660" s="12"/>
      <c r="X1660" s="12"/>
    </row>
    <row r="1661" spans="3:24">
      <c r="C1661" s="448"/>
      <c r="D1661" s="448"/>
      <c r="E1661" s="448"/>
      <c r="F1661" s="448"/>
      <c r="G1661" s="448"/>
      <c r="H1661" s="448"/>
      <c r="I1661" s="448"/>
      <c r="J1661" s="448"/>
      <c r="K1661" s="448"/>
      <c r="L1661" s="448"/>
      <c r="M1661" s="448"/>
      <c r="N1661" s="448"/>
      <c r="O1661" s="448"/>
      <c r="P1661" s="448"/>
      <c r="Q1661" s="448"/>
      <c r="R1661" s="448"/>
      <c r="S1661" s="12"/>
      <c r="T1661" s="12"/>
      <c r="U1661" s="12"/>
      <c r="V1661" s="12"/>
      <c r="W1661" s="12"/>
      <c r="X1661" s="12"/>
    </row>
    <row r="1662" spans="3:24">
      <c r="C1662" s="448"/>
      <c r="D1662" s="448"/>
      <c r="E1662" s="448"/>
      <c r="F1662" s="448"/>
      <c r="G1662" s="448"/>
      <c r="H1662" s="448"/>
      <c r="I1662" s="448"/>
      <c r="J1662" s="448"/>
      <c r="K1662" s="448"/>
      <c r="L1662" s="448"/>
      <c r="M1662" s="448"/>
      <c r="N1662" s="448"/>
      <c r="O1662" s="448"/>
      <c r="P1662" s="448"/>
      <c r="Q1662" s="448"/>
      <c r="R1662" s="448"/>
      <c r="S1662" s="12"/>
      <c r="T1662" s="12"/>
      <c r="U1662" s="12"/>
      <c r="V1662" s="12"/>
      <c r="W1662" s="12"/>
      <c r="X1662" s="12"/>
    </row>
    <row r="1663" spans="3:24">
      <c r="C1663" s="448"/>
      <c r="D1663" s="448"/>
      <c r="E1663" s="448"/>
      <c r="F1663" s="448"/>
      <c r="G1663" s="448"/>
      <c r="H1663" s="448"/>
      <c r="I1663" s="448"/>
      <c r="J1663" s="448"/>
      <c r="K1663" s="448"/>
      <c r="L1663" s="448"/>
      <c r="M1663" s="448"/>
      <c r="N1663" s="448"/>
      <c r="O1663" s="448"/>
      <c r="P1663" s="448"/>
      <c r="Q1663" s="448"/>
      <c r="R1663" s="448"/>
      <c r="S1663" s="12"/>
      <c r="T1663" s="12"/>
      <c r="U1663" s="12"/>
      <c r="V1663" s="12"/>
      <c r="W1663" s="12"/>
      <c r="X1663" s="12"/>
    </row>
    <row r="1664" spans="3:24">
      <c r="C1664" s="448"/>
      <c r="D1664" s="448"/>
      <c r="E1664" s="448"/>
      <c r="F1664" s="448"/>
      <c r="G1664" s="448"/>
      <c r="H1664" s="448"/>
      <c r="I1664" s="448"/>
      <c r="J1664" s="448"/>
      <c r="K1664" s="448"/>
      <c r="L1664" s="448"/>
      <c r="M1664" s="448"/>
      <c r="N1664" s="448"/>
      <c r="O1664" s="448"/>
      <c r="P1664" s="448"/>
      <c r="Q1664" s="448"/>
      <c r="R1664" s="448"/>
      <c r="S1664" s="12"/>
      <c r="T1664" s="12"/>
      <c r="U1664" s="12"/>
      <c r="V1664" s="12"/>
      <c r="W1664" s="12"/>
      <c r="X1664" s="12"/>
    </row>
    <row r="1665" spans="2:25">
      <c r="C1665" s="803"/>
      <c r="D1665" s="803"/>
      <c r="E1665" s="803"/>
      <c r="F1665" s="803"/>
      <c r="G1665" s="803"/>
      <c r="H1665" s="803"/>
      <c r="I1665" s="803"/>
      <c r="J1665" s="803"/>
      <c r="K1665" s="803"/>
      <c r="L1665" s="803"/>
      <c r="M1665" s="803"/>
      <c r="N1665" s="803"/>
      <c r="O1665" s="803"/>
      <c r="P1665" s="803"/>
      <c r="Q1665" s="803"/>
      <c r="R1665" s="803"/>
      <c r="S1665" s="729"/>
      <c r="T1665" s="729"/>
      <c r="U1665" s="729"/>
      <c r="V1665" s="729"/>
      <c r="W1665" s="729"/>
      <c r="X1665" s="729"/>
    </row>
    <row r="1666" spans="2:25">
      <c r="C1666" s="803"/>
      <c r="D1666" s="803"/>
      <c r="E1666" s="803"/>
      <c r="F1666" s="803"/>
      <c r="G1666" s="803"/>
      <c r="H1666" s="803"/>
      <c r="I1666" s="803"/>
      <c r="J1666" s="803"/>
      <c r="K1666" s="803"/>
      <c r="L1666" s="803"/>
      <c r="M1666" s="803"/>
      <c r="N1666" s="803"/>
      <c r="O1666" s="803"/>
      <c r="P1666" s="803"/>
      <c r="Q1666" s="803"/>
      <c r="R1666" s="803"/>
      <c r="S1666" s="729"/>
      <c r="T1666" s="729"/>
      <c r="U1666" s="729"/>
      <c r="V1666" s="729"/>
      <c r="W1666" s="729"/>
      <c r="X1666" s="729"/>
    </row>
    <row r="1667" spans="2:25">
      <c r="C1667" s="803"/>
      <c r="D1667" s="803"/>
      <c r="E1667" s="803"/>
      <c r="F1667" s="803"/>
      <c r="G1667" s="803"/>
      <c r="H1667" s="803"/>
      <c r="I1667" s="803"/>
      <c r="J1667" s="803"/>
      <c r="K1667" s="803"/>
      <c r="L1667" s="803"/>
      <c r="M1667" s="803"/>
      <c r="N1667" s="803"/>
      <c r="O1667" s="803"/>
      <c r="P1667" s="803"/>
      <c r="Q1667" s="803"/>
      <c r="R1667" s="803"/>
      <c r="S1667" s="729"/>
      <c r="T1667" s="729"/>
      <c r="U1667" s="729"/>
      <c r="V1667" s="729"/>
      <c r="W1667" s="729"/>
      <c r="X1667" s="729"/>
    </row>
    <row r="1668" spans="2:25">
      <c r="C1668" s="448"/>
      <c r="D1668" s="448"/>
      <c r="E1668" s="448"/>
      <c r="F1668" s="448"/>
      <c r="G1668" s="448"/>
      <c r="H1668" s="448"/>
      <c r="I1668" s="448"/>
      <c r="J1668" s="448"/>
      <c r="K1668" s="448"/>
      <c r="L1668" s="448"/>
      <c r="M1668" s="448"/>
      <c r="N1668" s="448"/>
      <c r="O1668" s="448"/>
      <c r="P1668" s="448"/>
      <c r="Q1668" s="448"/>
      <c r="R1668" s="448"/>
      <c r="S1668" s="12"/>
      <c r="T1668" s="12"/>
      <c r="U1668" s="12"/>
      <c r="V1668" s="12"/>
      <c r="W1668" s="12"/>
      <c r="X1668" s="12"/>
    </row>
    <row r="1669" spans="2:25">
      <c r="C1669" s="448"/>
      <c r="D1669" s="448"/>
      <c r="E1669" s="448"/>
      <c r="F1669" s="448"/>
      <c r="G1669" s="448"/>
      <c r="H1669" s="448"/>
      <c r="I1669" s="448"/>
      <c r="J1669" s="448"/>
      <c r="K1669" s="448"/>
      <c r="L1669" s="448"/>
      <c r="M1669" s="448"/>
      <c r="N1669" s="448"/>
      <c r="O1669" s="448"/>
      <c r="P1669" s="448"/>
      <c r="Q1669" s="448"/>
      <c r="R1669" s="448"/>
      <c r="S1669" s="12"/>
      <c r="T1669" s="12"/>
      <c r="U1669" s="12"/>
      <c r="V1669" s="12"/>
      <c r="W1669" s="12"/>
      <c r="X1669" s="12"/>
    </row>
    <row r="1673" spans="2:25">
      <c r="B1673" s="5" t="s">
        <v>1317</v>
      </c>
    </row>
    <row r="1675" spans="2:25">
      <c r="C1675" s="5" t="s">
        <v>1318</v>
      </c>
    </row>
    <row r="1677" spans="2:25" ht="78.75" customHeight="1">
      <c r="C1677" s="801" t="s">
        <v>1319</v>
      </c>
      <c r="D1677" s="801"/>
      <c r="E1677" s="801"/>
      <c r="F1677" s="801"/>
      <c r="G1677" s="801"/>
      <c r="H1677" s="801"/>
      <c r="I1677" s="801"/>
      <c r="J1677" s="801"/>
      <c r="K1677" s="801"/>
      <c r="L1677" s="801"/>
      <c r="M1677" s="801"/>
      <c r="N1677" s="801"/>
      <c r="O1677" s="801"/>
      <c r="P1677" s="801"/>
      <c r="Q1677" s="801"/>
      <c r="R1677" s="801"/>
      <c r="S1677" s="801"/>
      <c r="T1677" s="801"/>
      <c r="U1677" s="801"/>
      <c r="V1677" s="801"/>
      <c r="W1677" s="801"/>
      <c r="X1677" s="801"/>
      <c r="Y1677" s="801"/>
    </row>
    <row r="1679" spans="2:25">
      <c r="C1679" s="5" t="s">
        <v>1320</v>
      </c>
    </row>
    <row r="1681" spans="3:35">
      <c r="C1681" s="852" t="s">
        <v>881</v>
      </c>
      <c r="D1681" s="852"/>
      <c r="E1681" s="852" t="s">
        <v>1321</v>
      </c>
      <c r="F1681" s="852"/>
      <c r="G1681" s="852"/>
      <c r="H1681" s="852"/>
      <c r="I1681" s="852"/>
      <c r="J1681" s="852"/>
      <c r="K1681" s="852"/>
      <c r="L1681" s="852"/>
      <c r="M1681" s="852"/>
      <c r="N1681" s="852"/>
      <c r="O1681" s="852" t="s">
        <v>937</v>
      </c>
      <c r="P1681" s="852"/>
      <c r="Q1681" s="852"/>
      <c r="R1681" s="852"/>
      <c r="S1681" s="852"/>
      <c r="T1681" s="852"/>
      <c r="U1681" s="852"/>
      <c r="V1681" s="852"/>
      <c r="W1681" s="852"/>
      <c r="X1681" s="852"/>
      <c r="Y1681" s="852"/>
    </row>
    <row r="1682" spans="3:35" s="448" customFormat="1" ht="29.25" customHeight="1">
      <c r="C1682" s="788">
        <v>1</v>
      </c>
      <c r="D1682" s="788"/>
      <c r="E1682" s="788" t="s">
        <v>1322</v>
      </c>
      <c r="F1682" s="788"/>
      <c r="G1682" s="788"/>
      <c r="H1682" s="788"/>
      <c r="I1682" s="788"/>
      <c r="J1682" s="788"/>
      <c r="K1682" s="788"/>
      <c r="L1682" s="788"/>
      <c r="M1682" s="788"/>
      <c r="N1682" s="788"/>
      <c r="O1682" s="788" t="s">
        <v>1323</v>
      </c>
      <c r="P1682" s="788"/>
      <c r="Q1682" s="788"/>
      <c r="R1682" s="788"/>
      <c r="S1682" s="788"/>
      <c r="T1682" s="788"/>
      <c r="U1682" s="788"/>
      <c r="V1682" s="788"/>
      <c r="W1682" s="788"/>
      <c r="X1682" s="788"/>
      <c r="Y1682" s="788"/>
      <c r="AF1682" s="729">
        <f>9000+5000+3750</f>
        <v>17750</v>
      </c>
      <c r="AG1682" s="729"/>
      <c r="AH1682" s="729"/>
      <c r="AI1682" s="729"/>
    </row>
    <row r="1683" spans="3:35" s="448" customFormat="1" ht="29.25" customHeight="1">
      <c r="C1683" s="788">
        <v>2</v>
      </c>
      <c r="D1683" s="788"/>
      <c r="E1683" s="788" t="s">
        <v>1324</v>
      </c>
      <c r="F1683" s="788"/>
      <c r="G1683" s="788"/>
      <c r="H1683" s="788"/>
      <c r="I1683" s="788"/>
      <c r="J1683" s="788"/>
      <c r="K1683" s="788"/>
      <c r="L1683" s="788"/>
      <c r="M1683" s="788"/>
      <c r="N1683" s="788"/>
      <c r="O1683" s="788" t="s">
        <v>1517</v>
      </c>
      <c r="P1683" s="788"/>
      <c r="Q1683" s="788"/>
      <c r="R1683" s="788"/>
      <c r="S1683" s="788"/>
      <c r="T1683" s="788"/>
      <c r="U1683" s="788"/>
      <c r="V1683" s="788"/>
      <c r="W1683" s="788"/>
      <c r="X1683" s="788"/>
      <c r="Y1683" s="788"/>
      <c r="AG1683" s="448">
        <f>50*10</f>
        <v>500</v>
      </c>
      <c r="AH1683" s="448">
        <f>+AG1683*2</f>
        <v>1000</v>
      </c>
    </row>
    <row r="1684" spans="3:35" s="448" customFormat="1" ht="29.25" customHeight="1">
      <c r="C1684" s="788">
        <v>3</v>
      </c>
      <c r="D1684" s="788"/>
      <c r="E1684" s="788" t="s">
        <v>1325</v>
      </c>
      <c r="F1684" s="788"/>
      <c r="G1684" s="788"/>
      <c r="H1684" s="788"/>
      <c r="I1684" s="788"/>
      <c r="J1684" s="788"/>
      <c r="K1684" s="788"/>
      <c r="L1684" s="788"/>
      <c r="M1684" s="788"/>
      <c r="N1684" s="788"/>
      <c r="O1684" s="788" t="s">
        <v>1516</v>
      </c>
      <c r="P1684" s="788"/>
      <c r="Q1684" s="788"/>
      <c r="R1684" s="788"/>
      <c r="S1684" s="788"/>
      <c r="T1684" s="788"/>
      <c r="U1684" s="788"/>
      <c r="V1684" s="788"/>
      <c r="W1684" s="788"/>
      <c r="X1684" s="788"/>
      <c r="Y1684" s="788"/>
      <c r="AG1684" s="448">
        <f>175*10</f>
        <v>1750</v>
      </c>
      <c r="AH1684" s="448">
        <f>+AG1684*2</f>
        <v>3500</v>
      </c>
    </row>
    <row r="1685" spans="3:35" s="448" customFormat="1" ht="33" customHeight="1">
      <c r="C1685" s="788">
        <v>4</v>
      </c>
      <c r="D1685" s="788"/>
      <c r="E1685" s="807" t="s">
        <v>1326</v>
      </c>
      <c r="F1685" s="807"/>
      <c r="G1685" s="807"/>
      <c r="H1685" s="807"/>
      <c r="I1685" s="807"/>
      <c r="J1685" s="807"/>
      <c r="K1685" s="807"/>
      <c r="L1685" s="807"/>
      <c r="M1685" s="807"/>
      <c r="N1685" s="807"/>
      <c r="O1685" s="788" t="s">
        <v>1621</v>
      </c>
      <c r="P1685" s="788"/>
      <c r="Q1685" s="788"/>
      <c r="R1685" s="788"/>
      <c r="S1685" s="788"/>
      <c r="T1685" s="788"/>
      <c r="U1685" s="788"/>
      <c r="V1685" s="788"/>
      <c r="W1685" s="788"/>
      <c r="X1685" s="788"/>
      <c r="Y1685" s="788"/>
      <c r="AG1685" s="448">
        <f>50*10</f>
        <v>500</v>
      </c>
      <c r="AH1685" s="448">
        <f>+AG1685*2</f>
        <v>1000</v>
      </c>
    </row>
    <row r="1686" spans="3:35" s="448" customFormat="1" ht="29.25" customHeight="1">
      <c r="C1686" s="788">
        <v>5</v>
      </c>
      <c r="D1686" s="788"/>
      <c r="E1686" s="807" t="s">
        <v>1327</v>
      </c>
      <c r="F1686" s="807"/>
      <c r="G1686" s="807"/>
      <c r="H1686" s="807"/>
      <c r="I1686" s="807"/>
      <c r="J1686" s="807"/>
      <c r="K1686" s="807"/>
      <c r="L1686" s="807"/>
      <c r="M1686" s="807"/>
      <c r="N1686" s="807"/>
      <c r="O1686" s="788">
        <f>+'1.Project Cost and MOF (2)'!D6+'1.Project Cost and MOF (2)'!D8+'1.Project Cost and MOF (2)'!D9</f>
        <v>18127932.961199999</v>
      </c>
      <c r="P1686" s="788"/>
      <c r="Q1686" s="788"/>
      <c r="R1686" s="788"/>
      <c r="S1686" s="788"/>
      <c r="T1686" s="788"/>
      <c r="U1686" s="788"/>
      <c r="V1686" s="788"/>
      <c r="W1686" s="788"/>
      <c r="X1686" s="788"/>
      <c r="Y1686" s="788"/>
      <c r="AG1686" s="448">
        <f>30*200</f>
        <v>6000</v>
      </c>
      <c r="AH1686" s="448">
        <f>+AG1686*2</f>
        <v>12000</v>
      </c>
    </row>
    <row r="1687" spans="3:35" s="448" customFormat="1" ht="29.25" customHeight="1">
      <c r="C1687" s="788">
        <v>6</v>
      </c>
      <c r="D1687" s="788"/>
      <c r="E1687" s="807" t="s">
        <v>1328</v>
      </c>
      <c r="F1687" s="807"/>
      <c r="G1687" s="807"/>
      <c r="H1687" s="807"/>
      <c r="I1687" s="807"/>
      <c r="J1687" s="807"/>
      <c r="K1687" s="807"/>
      <c r="L1687" s="807"/>
      <c r="M1687" s="807"/>
      <c r="N1687" s="807"/>
      <c r="O1687" s="788">
        <f>+'1.Project Cost and MOF (2)'!D5+'1.Project Cost and MOF (2)'!D7</f>
        <v>19004500</v>
      </c>
      <c r="P1687" s="788"/>
      <c r="Q1687" s="788"/>
      <c r="R1687" s="788"/>
      <c r="S1687" s="788"/>
      <c r="T1687" s="788"/>
      <c r="U1687" s="788"/>
      <c r="V1687" s="788"/>
      <c r="W1687" s="788"/>
      <c r="X1687" s="788"/>
      <c r="Y1687" s="788"/>
      <c r="AH1687" s="448">
        <f>SUM(AH1683:AH1686)</f>
        <v>17500</v>
      </c>
    </row>
    <row r="1688" spans="3:35" s="448" customFormat="1" ht="30.75" customHeight="1">
      <c r="C1688" s="788">
        <v>7</v>
      </c>
      <c r="D1688" s="788"/>
      <c r="E1688" s="807" t="s">
        <v>1329</v>
      </c>
      <c r="F1688" s="807"/>
      <c r="G1688" s="807"/>
      <c r="H1688" s="807"/>
      <c r="I1688" s="807"/>
      <c r="J1688" s="807"/>
      <c r="K1688" s="807"/>
      <c r="L1688" s="807"/>
      <c r="M1688" s="807"/>
      <c r="N1688" s="807"/>
      <c r="O1688" s="788" t="s">
        <v>1506</v>
      </c>
      <c r="P1688" s="788"/>
      <c r="Q1688" s="788"/>
      <c r="R1688" s="788"/>
      <c r="S1688" s="788"/>
      <c r="T1688" s="788"/>
      <c r="U1688" s="788"/>
      <c r="V1688" s="788"/>
      <c r="W1688" s="788"/>
      <c r="X1688" s="788"/>
      <c r="Y1688" s="788"/>
      <c r="AF1688" s="729">
        <v>65000</v>
      </c>
      <c r="AG1688" s="729"/>
      <c r="AH1688" s="729"/>
    </row>
    <row r="1689" spans="3:35">
      <c r="C1689" s="786"/>
      <c r="D1689" s="786"/>
      <c r="E1689" s="786"/>
      <c r="F1689" s="786"/>
      <c r="G1689" s="786"/>
      <c r="H1689" s="786"/>
      <c r="I1689" s="786"/>
      <c r="J1689" s="786"/>
      <c r="K1689" s="786"/>
      <c r="L1689" s="786"/>
      <c r="M1689" s="786"/>
      <c r="N1689" s="786"/>
      <c r="O1689" s="786"/>
      <c r="P1689" s="786"/>
      <c r="Q1689" s="786"/>
      <c r="R1689" s="786"/>
      <c r="S1689" s="786"/>
      <c r="T1689" s="786"/>
      <c r="U1689" s="786"/>
      <c r="V1689" s="786"/>
      <c r="W1689" s="786"/>
      <c r="X1689" s="786"/>
      <c r="Y1689" s="786"/>
      <c r="AF1689" s="729">
        <f>+AF1688/1080</f>
        <v>60.185185185185183</v>
      </c>
      <c r="AG1689" s="729"/>
      <c r="AH1689" s="729"/>
    </row>
    <row r="1690" spans="3:35">
      <c r="C1690" s="729"/>
      <c r="D1690" s="729"/>
      <c r="E1690" s="729"/>
      <c r="F1690" s="729"/>
      <c r="G1690" s="729"/>
      <c r="H1690" s="729"/>
      <c r="I1690" s="729"/>
      <c r="J1690" s="729"/>
      <c r="K1690" s="729"/>
      <c r="L1690" s="729"/>
      <c r="M1690" s="729"/>
      <c r="N1690" s="729"/>
      <c r="O1690" s="729"/>
      <c r="P1690" s="729"/>
      <c r="Q1690" s="729"/>
      <c r="R1690" s="729"/>
      <c r="S1690" s="729"/>
      <c r="T1690" s="729"/>
      <c r="U1690" s="729"/>
      <c r="V1690" s="729"/>
      <c r="W1690" s="729"/>
      <c r="X1690" s="729"/>
      <c r="Y1690" s="729"/>
    </row>
    <row r="1691" spans="3:35">
      <c r="C1691" s="729"/>
      <c r="D1691" s="729"/>
      <c r="E1691" s="729"/>
      <c r="F1691" s="729"/>
      <c r="G1691" s="729"/>
      <c r="H1691" s="729"/>
      <c r="I1691" s="729"/>
      <c r="J1691" s="729"/>
      <c r="K1691" s="729"/>
      <c r="L1691" s="729"/>
      <c r="M1691" s="729"/>
      <c r="N1691" s="729"/>
      <c r="O1691" s="729"/>
      <c r="P1691" s="729"/>
      <c r="Q1691" s="729"/>
      <c r="R1691" s="729"/>
      <c r="S1691" s="729"/>
      <c r="T1691" s="729"/>
      <c r="U1691" s="729"/>
      <c r="V1691" s="729"/>
      <c r="W1691" s="729"/>
      <c r="X1691" s="729"/>
      <c r="Y1691" s="729"/>
    </row>
    <row r="1692" spans="3:35">
      <c r="C1692" s="729"/>
      <c r="D1692" s="729"/>
      <c r="E1692" s="729"/>
      <c r="F1692" s="729"/>
      <c r="G1692" s="729"/>
      <c r="H1692" s="729"/>
      <c r="I1692" s="729"/>
      <c r="J1692" s="729"/>
      <c r="K1692" s="729"/>
      <c r="L1692" s="729"/>
      <c r="M1692" s="729"/>
      <c r="N1692" s="729"/>
      <c r="O1692" s="729"/>
      <c r="P1692" s="729"/>
      <c r="Q1692" s="729"/>
      <c r="R1692" s="729"/>
      <c r="S1692" s="729"/>
      <c r="T1692" s="729"/>
      <c r="U1692" s="729"/>
      <c r="V1692" s="729"/>
      <c r="W1692" s="729"/>
      <c r="X1692" s="729"/>
      <c r="Y1692" s="729"/>
    </row>
    <row r="1693" spans="3:35">
      <c r="C1693" s="729"/>
      <c r="D1693" s="729"/>
      <c r="E1693" s="729"/>
      <c r="F1693" s="729"/>
      <c r="G1693" s="729"/>
      <c r="H1693" s="729"/>
      <c r="I1693" s="729"/>
      <c r="J1693" s="729"/>
      <c r="K1693" s="729"/>
      <c r="L1693" s="729"/>
      <c r="M1693" s="729"/>
      <c r="N1693" s="729"/>
      <c r="O1693" s="729"/>
      <c r="P1693" s="729"/>
      <c r="Q1693" s="729"/>
      <c r="R1693" s="729"/>
      <c r="S1693" s="729"/>
      <c r="T1693" s="729"/>
      <c r="U1693" s="729"/>
      <c r="V1693" s="729"/>
      <c r="W1693" s="729"/>
      <c r="X1693" s="729"/>
      <c r="Y1693" s="729"/>
    </row>
    <row r="1694" spans="3:35">
      <c r="C1694" s="5" t="s">
        <v>1330</v>
      </c>
    </row>
    <row r="1697" spans="3:25" ht="47.25" customHeight="1">
      <c r="C1697" s="867" t="s">
        <v>952</v>
      </c>
      <c r="D1697" s="867"/>
      <c r="E1697" s="867" t="s">
        <v>1331</v>
      </c>
      <c r="F1697" s="867"/>
      <c r="G1697" s="867"/>
      <c r="H1697" s="867"/>
      <c r="I1697" s="867"/>
      <c r="J1697" s="867"/>
      <c r="K1697" s="867"/>
      <c r="L1697" s="867"/>
      <c r="M1697" s="867" t="s">
        <v>1332</v>
      </c>
      <c r="N1697" s="867"/>
      <c r="O1697" s="867"/>
      <c r="P1697" s="845" t="s">
        <v>1333</v>
      </c>
      <c r="Q1697" s="845"/>
      <c r="R1697" s="845"/>
      <c r="S1697" s="845"/>
      <c r="T1697" s="845"/>
      <c r="U1697" s="845" t="s">
        <v>1334</v>
      </c>
      <c r="V1697" s="845"/>
      <c r="W1697" s="845"/>
      <c r="X1697" s="845"/>
      <c r="Y1697" s="845"/>
    </row>
    <row r="1698" spans="3:25">
      <c r="C1698" s="786">
        <v>1</v>
      </c>
      <c r="D1698" s="786"/>
      <c r="E1698" s="788" t="str">
        <f>+'13.Facility 2 - Besan'!A180</f>
        <v>Besan</v>
      </c>
      <c r="F1698" s="788"/>
      <c r="G1698" s="788"/>
      <c r="H1698" s="788"/>
      <c r="I1698" s="788"/>
      <c r="J1698" s="788"/>
      <c r="K1698" s="788"/>
      <c r="L1698" s="788"/>
      <c r="M1698" s="786" t="s">
        <v>1514</v>
      </c>
      <c r="N1698" s="786"/>
      <c r="O1698" s="786"/>
      <c r="P1698" s="795">
        <f>+'13.Facility 2 - Besan'!C180</f>
        <v>2250</v>
      </c>
      <c r="Q1698" s="795"/>
      <c r="R1698" s="795"/>
      <c r="S1698" s="795"/>
      <c r="T1698" s="795"/>
      <c r="U1698" s="786" t="s">
        <v>921</v>
      </c>
      <c r="V1698" s="786"/>
      <c r="W1698" s="786"/>
      <c r="X1698" s="786"/>
      <c r="Y1698" s="786"/>
    </row>
    <row r="1699" spans="3:25">
      <c r="C1699" s="786">
        <v>2</v>
      </c>
      <c r="D1699" s="786"/>
      <c r="E1699" s="788" t="e">
        <f>+'13.Facility 2 - Besan'!#REF!</f>
        <v>#REF!</v>
      </c>
      <c r="F1699" s="788"/>
      <c r="G1699" s="788"/>
      <c r="H1699" s="788"/>
      <c r="I1699" s="788"/>
      <c r="J1699" s="788"/>
      <c r="K1699" s="788"/>
      <c r="L1699" s="788"/>
      <c r="M1699" s="786" t="s">
        <v>1514</v>
      </c>
      <c r="N1699" s="786"/>
      <c r="O1699" s="786"/>
      <c r="P1699" s="795" t="e">
        <f>+'13.Facility 2 - Besan'!#REF!</f>
        <v>#REF!</v>
      </c>
      <c r="Q1699" s="795"/>
      <c r="R1699" s="795"/>
      <c r="S1699" s="795"/>
      <c r="T1699" s="795"/>
      <c r="U1699" s="786" t="s">
        <v>921</v>
      </c>
      <c r="V1699" s="786"/>
      <c r="W1699" s="786"/>
      <c r="X1699" s="786"/>
      <c r="Y1699" s="786"/>
    </row>
    <row r="1700" spans="3:25" ht="15" hidden="1" customHeight="1">
      <c r="C1700" s="786">
        <v>3</v>
      </c>
      <c r="D1700" s="786"/>
      <c r="E1700" s="788" t="e">
        <f>+'13.Facility 2 - Besan'!#REF!</f>
        <v>#REF!</v>
      </c>
      <c r="F1700" s="788"/>
      <c r="G1700" s="788"/>
      <c r="H1700" s="788"/>
      <c r="I1700" s="788"/>
      <c r="J1700" s="788"/>
      <c r="K1700" s="788"/>
      <c r="L1700" s="788"/>
      <c r="M1700" s="786" t="s">
        <v>1514</v>
      </c>
      <c r="N1700" s="786"/>
      <c r="O1700" s="786"/>
      <c r="P1700" s="795" t="e">
        <f>+'13.Facility 2 - Besan'!#REF!</f>
        <v>#REF!</v>
      </c>
      <c r="Q1700" s="795"/>
      <c r="R1700" s="795"/>
      <c r="S1700" s="795"/>
      <c r="T1700" s="795"/>
      <c r="U1700" s="786" t="s">
        <v>921</v>
      </c>
      <c r="V1700" s="786"/>
      <c r="W1700" s="786"/>
      <c r="X1700" s="786"/>
      <c r="Y1700" s="786"/>
    </row>
    <row r="1701" spans="3:25" hidden="1">
      <c r="C1701" s="786">
        <v>4</v>
      </c>
      <c r="D1701" s="786"/>
      <c r="E1701" s="788" t="e">
        <f>+'13.Facility 2 - Besan'!#REF!</f>
        <v>#REF!</v>
      </c>
      <c r="F1701" s="788"/>
      <c r="G1701" s="788"/>
      <c r="H1701" s="788"/>
      <c r="I1701" s="788"/>
      <c r="J1701" s="788"/>
      <c r="K1701" s="788"/>
      <c r="L1701" s="788"/>
      <c r="M1701" s="786" t="s">
        <v>1514</v>
      </c>
      <c r="N1701" s="786"/>
      <c r="O1701" s="786"/>
      <c r="P1701" s="795" t="e">
        <f>+'13.Facility 2 - Besan'!#REF!</f>
        <v>#REF!</v>
      </c>
      <c r="Q1701" s="795"/>
      <c r="R1701" s="795"/>
      <c r="S1701" s="795"/>
      <c r="T1701" s="795"/>
      <c r="U1701" s="786" t="s">
        <v>921</v>
      </c>
      <c r="V1701" s="786"/>
      <c r="W1701" s="786"/>
      <c r="X1701" s="786"/>
      <c r="Y1701" s="786"/>
    </row>
    <row r="1702" spans="3:25">
      <c r="C1702" s="786">
        <v>5</v>
      </c>
      <c r="D1702" s="786"/>
      <c r="E1702" s="788" t="str">
        <f>+'13.Facility 2 - Besan'!A181</f>
        <v>Maize</v>
      </c>
      <c r="F1702" s="788"/>
      <c r="G1702" s="788"/>
      <c r="H1702" s="788"/>
      <c r="I1702" s="788"/>
      <c r="J1702" s="788"/>
      <c r="K1702" s="788"/>
      <c r="L1702" s="788"/>
      <c r="M1702" s="786" t="s">
        <v>1514</v>
      </c>
      <c r="N1702" s="786"/>
      <c r="O1702" s="786"/>
      <c r="P1702" s="795">
        <f>+'13.Facility 2 - Besan'!C181</f>
        <v>1800</v>
      </c>
      <c r="Q1702" s="795"/>
      <c r="R1702" s="795"/>
      <c r="S1702" s="795"/>
      <c r="T1702" s="795"/>
      <c r="U1702" s="786" t="s">
        <v>921</v>
      </c>
      <c r="V1702" s="786"/>
      <c r="W1702" s="786"/>
      <c r="X1702" s="786"/>
      <c r="Y1702" s="786"/>
    </row>
    <row r="1703" spans="3:25" hidden="1">
      <c r="C1703" s="786">
        <v>6</v>
      </c>
      <c r="D1703" s="786"/>
      <c r="E1703" s="788" t="e">
        <f>+'13.Facility 2 - Besan'!#REF!</f>
        <v>#REF!</v>
      </c>
      <c r="F1703" s="788"/>
      <c r="G1703" s="788"/>
      <c r="H1703" s="788"/>
      <c r="I1703" s="788"/>
      <c r="J1703" s="788"/>
      <c r="K1703" s="788"/>
      <c r="L1703" s="788"/>
      <c r="M1703" s="786" t="s">
        <v>1514</v>
      </c>
      <c r="N1703" s="786"/>
      <c r="O1703" s="786"/>
      <c r="P1703" s="795" t="e">
        <f>+'13.Facility 2 - Besan'!#REF!</f>
        <v>#REF!</v>
      </c>
      <c r="Q1703" s="795"/>
      <c r="R1703" s="795"/>
      <c r="S1703" s="795"/>
      <c r="T1703" s="795"/>
      <c r="U1703" s="786" t="s">
        <v>921</v>
      </c>
      <c r="V1703" s="786"/>
      <c r="W1703" s="786"/>
      <c r="X1703" s="786"/>
      <c r="Y1703" s="786"/>
    </row>
    <row r="1704" spans="3:25">
      <c r="C1704" s="786">
        <v>7</v>
      </c>
      <c r="D1704" s="786"/>
      <c r="E1704" s="788" t="e">
        <f>+'13.Facility 2 - Besan'!#REF!</f>
        <v>#REF!</v>
      </c>
      <c r="F1704" s="788"/>
      <c r="G1704" s="788"/>
      <c r="H1704" s="788"/>
      <c r="I1704" s="788"/>
      <c r="J1704" s="788"/>
      <c r="K1704" s="788"/>
      <c r="L1704" s="788"/>
      <c r="M1704" s="786" t="s">
        <v>1514</v>
      </c>
      <c r="N1704" s="786"/>
      <c r="O1704" s="786"/>
      <c r="P1704" s="795" t="e">
        <f>+'13.Facility 2 - Besan'!#REF!</f>
        <v>#REF!</v>
      </c>
      <c r="Q1704" s="795"/>
      <c r="R1704" s="795"/>
      <c r="S1704" s="795"/>
      <c r="T1704" s="795"/>
      <c r="U1704" s="786" t="s">
        <v>921</v>
      </c>
      <c r="V1704" s="786"/>
      <c r="W1704" s="786"/>
      <c r="X1704" s="786"/>
      <c r="Y1704" s="786"/>
    </row>
    <row r="1705" spans="3:25" hidden="1">
      <c r="C1705" s="786">
        <v>8</v>
      </c>
      <c r="D1705" s="786"/>
      <c r="E1705" s="788" t="e">
        <f>+'13.Facility 2 - Besan'!#REF!</f>
        <v>#REF!</v>
      </c>
      <c r="F1705" s="788"/>
      <c r="G1705" s="788"/>
      <c r="H1705" s="788"/>
      <c r="I1705" s="788"/>
      <c r="J1705" s="788"/>
      <c r="K1705" s="788"/>
      <c r="L1705" s="788"/>
      <c r="M1705" s="786" t="s">
        <v>1514</v>
      </c>
      <c r="N1705" s="786"/>
      <c r="O1705" s="786"/>
      <c r="P1705" s="795" t="e">
        <f>+'13.Facility 2 - Besan'!#REF!</f>
        <v>#REF!</v>
      </c>
      <c r="Q1705" s="795"/>
      <c r="R1705" s="795"/>
      <c r="S1705" s="795"/>
      <c r="T1705" s="795"/>
      <c r="U1705" s="786" t="s">
        <v>921</v>
      </c>
      <c r="V1705" s="786"/>
      <c r="W1705" s="786"/>
      <c r="X1705" s="786"/>
      <c r="Y1705" s="786"/>
    </row>
    <row r="1706" spans="3:25" ht="15" hidden="1" customHeight="1">
      <c r="C1706" s="786">
        <v>9</v>
      </c>
      <c r="D1706" s="786"/>
      <c r="E1706" s="788" t="e">
        <f>+'13.Facility 2 - Besan'!#REF!</f>
        <v>#REF!</v>
      </c>
      <c r="F1706" s="788"/>
      <c r="G1706" s="788"/>
      <c r="H1706" s="788"/>
      <c r="I1706" s="788"/>
      <c r="J1706" s="788"/>
      <c r="K1706" s="788"/>
      <c r="L1706" s="788"/>
      <c r="M1706" s="786" t="s">
        <v>1514</v>
      </c>
      <c r="N1706" s="786"/>
      <c r="O1706" s="786"/>
      <c r="P1706" s="795" t="e">
        <f>+'13.Facility 2 - Besan'!#REF!</f>
        <v>#REF!</v>
      </c>
      <c r="Q1706" s="795"/>
      <c r="R1706" s="795"/>
      <c r="S1706" s="795"/>
      <c r="T1706" s="795"/>
      <c r="U1706" s="786" t="s">
        <v>921</v>
      </c>
      <c r="V1706" s="786"/>
      <c r="W1706" s="786"/>
      <c r="X1706" s="786"/>
      <c r="Y1706" s="786"/>
    </row>
    <row r="1707" spans="3:25">
      <c r="C1707" s="786">
        <v>10</v>
      </c>
      <c r="D1707" s="786"/>
      <c r="E1707" s="788" t="e">
        <f>+'13.Facility 2 - Besan'!#REF!</f>
        <v>#REF!</v>
      </c>
      <c r="F1707" s="788"/>
      <c r="G1707" s="788"/>
      <c r="H1707" s="788"/>
      <c r="I1707" s="788"/>
      <c r="J1707" s="788"/>
      <c r="K1707" s="788"/>
      <c r="L1707" s="788"/>
      <c r="M1707" s="786" t="s">
        <v>1514</v>
      </c>
      <c r="N1707" s="786"/>
      <c r="O1707" s="786"/>
      <c r="P1707" s="795" t="e">
        <f>+'13.Facility 2 - Besan'!#REF!</f>
        <v>#REF!</v>
      </c>
      <c r="Q1707" s="795"/>
      <c r="R1707" s="795"/>
      <c r="S1707" s="795"/>
      <c r="T1707" s="795"/>
      <c r="U1707" s="786" t="s">
        <v>921</v>
      </c>
      <c r="V1707" s="786"/>
      <c r="W1707" s="786"/>
      <c r="X1707" s="786"/>
      <c r="Y1707" s="786"/>
    </row>
    <row r="1708" spans="3:25">
      <c r="C1708" s="786">
        <v>11</v>
      </c>
      <c r="D1708" s="786"/>
      <c r="E1708" s="788" t="e">
        <f>+'13.Facility 2 - Besan'!#REF!</f>
        <v>#REF!</v>
      </c>
      <c r="F1708" s="788"/>
      <c r="G1708" s="788"/>
      <c r="H1708" s="788"/>
      <c r="I1708" s="788"/>
      <c r="J1708" s="788"/>
      <c r="K1708" s="788"/>
      <c r="L1708" s="788"/>
      <c r="M1708" s="786" t="s">
        <v>1514</v>
      </c>
      <c r="N1708" s="786"/>
      <c r="O1708" s="786"/>
      <c r="P1708" s="795" t="e">
        <f>+'13.Facility 2 - Besan'!#REF!</f>
        <v>#REF!</v>
      </c>
      <c r="Q1708" s="795"/>
      <c r="R1708" s="795"/>
      <c r="S1708" s="795"/>
      <c r="T1708" s="795"/>
      <c r="U1708" s="786" t="s">
        <v>921</v>
      </c>
      <c r="V1708" s="786"/>
      <c r="W1708" s="786"/>
      <c r="X1708" s="786"/>
      <c r="Y1708" s="786"/>
    </row>
    <row r="1709" spans="3:25">
      <c r="C1709" s="786">
        <v>12</v>
      </c>
      <c r="D1709" s="786"/>
      <c r="E1709" s="788" t="e">
        <f>+'13.Facility 2 - Besan'!#REF!</f>
        <v>#REF!</v>
      </c>
      <c r="F1709" s="788"/>
      <c r="G1709" s="788"/>
      <c r="H1709" s="788"/>
      <c r="I1709" s="788"/>
      <c r="J1709" s="788"/>
      <c r="K1709" s="788"/>
      <c r="L1709" s="788"/>
      <c r="M1709" s="786" t="s">
        <v>1514</v>
      </c>
      <c r="N1709" s="786"/>
      <c r="O1709" s="786"/>
      <c r="P1709" s="795" t="e">
        <f>+'13.Facility 2 - Besan'!#REF!</f>
        <v>#REF!</v>
      </c>
      <c r="Q1709" s="795"/>
      <c r="R1709" s="795"/>
      <c r="S1709" s="795"/>
      <c r="T1709" s="795"/>
      <c r="U1709" s="786" t="s">
        <v>921</v>
      </c>
      <c r="V1709" s="786"/>
      <c r="W1709" s="786"/>
      <c r="X1709" s="786"/>
      <c r="Y1709" s="786"/>
    </row>
    <row r="1710" spans="3:25">
      <c r="C1710" s="786">
        <v>13</v>
      </c>
      <c r="D1710" s="786"/>
      <c r="E1710" s="788" t="str">
        <f>+'13.Facility 2 - Besan'!A182</f>
        <v>Maize</v>
      </c>
      <c r="F1710" s="788"/>
      <c r="G1710" s="788"/>
      <c r="H1710" s="788"/>
      <c r="I1710" s="788"/>
      <c r="J1710" s="788"/>
      <c r="K1710" s="788"/>
      <c r="L1710" s="788"/>
      <c r="M1710" s="786" t="s">
        <v>1514</v>
      </c>
      <c r="N1710" s="786"/>
      <c r="O1710" s="786"/>
      <c r="P1710" s="795">
        <f>+'13.Facility 2 - Besan'!C182</f>
        <v>1540</v>
      </c>
      <c r="Q1710" s="795"/>
      <c r="R1710" s="795"/>
      <c r="S1710" s="795"/>
      <c r="T1710" s="795"/>
      <c r="U1710" s="786" t="s">
        <v>921</v>
      </c>
      <c r="V1710" s="786"/>
      <c r="W1710" s="786"/>
      <c r="X1710" s="786"/>
      <c r="Y1710" s="786"/>
    </row>
    <row r="1711" spans="3:25" ht="15" hidden="1" customHeight="1">
      <c r="C1711" s="786">
        <v>14</v>
      </c>
      <c r="D1711" s="786"/>
      <c r="E1711" s="788" t="str">
        <f>+'13.Facility 2 - Besan'!A183</f>
        <v>Safflower</v>
      </c>
      <c r="F1711" s="788"/>
      <c r="G1711" s="788"/>
      <c r="H1711" s="788"/>
      <c r="I1711" s="788"/>
      <c r="J1711" s="788"/>
      <c r="K1711" s="788"/>
      <c r="L1711" s="788"/>
      <c r="M1711" s="786" t="s">
        <v>1514</v>
      </c>
      <c r="N1711" s="786"/>
      <c r="O1711" s="786"/>
      <c r="P1711" s="795">
        <f>+'13.Facility 2 - Besan'!C183</f>
        <v>0</v>
      </c>
      <c r="Q1711" s="795"/>
      <c r="R1711" s="795"/>
      <c r="S1711" s="795"/>
      <c r="T1711" s="795"/>
      <c r="U1711" s="786"/>
      <c r="V1711" s="786"/>
      <c r="W1711" s="786"/>
      <c r="X1711" s="786"/>
      <c r="Y1711" s="786"/>
    </row>
    <row r="1712" spans="3:25" hidden="1">
      <c r="C1712" s="786">
        <v>15</v>
      </c>
      <c r="D1712" s="786"/>
      <c r="E1712" s="788" t="str">
        <f>+'13.Facility 2 - Besan'!A238</f>
        <v>Exotic Vegitables</v>
      </c>
      <c r="F1712" s="788"/>
      <c r="G1712" s="788"/>
      <c r="H1712" s="788"/>
      <c r="I1712" s="788"/>
      <c r="J1712" s="788"/>
      <c r="K1712" s="788"/>
      <c r="L1712" s="788"/>
      <c r="M1712" s="786" t="s">
        <v>1514</v>
      </c>
      <c r="N1712" s="786"/>
      <c r="O1712" s="786"/>
      <c r="P1712" s="795">
        <f>+'13.Facility 2 - Besan'!C204</f>
        <v>2000</v>
      </c>
      <c r="Q1712" s="795"/>
      <c r="R1712" s="795"/>
      <c r="S1712" s="795"/>
      <c r="T1712" s="795"/>
      <c r="U1712" s="786" t="s">
        <v>921</v>
      </c>
      <c r="V1712" s="786"/>
      <c r="W1712" s="786"/>
      <c r="X1712" s="786"/>
      <c r="Y1712" s="786"/>
    </row>
    <row r="1713" spans="3:25" hidden="1">
      <c r="C1713" s="786">
        <v>16</v>
      </c>
      <c r="D1713" s="786"/>
      <c r="E1713" s="788" t="str">
        <f>+'13.Facility 2 - Besan'!A248</f>
        <v>Tomato</v>
      </c>
      <c r="F1713" s="788"/>
      <c r="G1713" s="788"/>
      <c r="H1713" s="788"/>
      <c r="I1713" s="788"/>
      <c r="J1713" s="788"/>
      <c r="K1713" s="788"/>
      <c r="L1713" s="788"/>
      <c r="M1713" s="786" t="s">
        <v>1514</v>
      </c>
      <c r="N1713" s="786"/>
      <c r="O1713" s="786"/>
      <c r="P1713" s="795">
        <f>+'13.Facility 2 - Besan'!C205</f>
        <v>1000</v>
      </c>
      <c r="Q1713" s="795"/>
      <c r="R1713" s="795"/>
      <c r="S1713" s="795"/>
      <c r="T1713" s="795"/>
      <c r="U1713" s="786" t="s">
        <v>921</v>
      </c>
      <c r="V1713" s="786"/>
      <c r="W1713" s="786"/>
      <c r="X1713" s="786"/>
      <c r="Y1713" s="786"/>
    </row>
    <row r="1714" spans="3:25" hidden="1">
      <c r="C1714" s="786">
        <v>17</v>
      </c>
      <c r="D1714" s="786"/>
      <c r="E1714" s="788" t="str">
        <f>+'13.Facility 2 - Besan'!A216</f>
        <v>Pomegranate</v>
      </c>
      <c r="F1714" s="788"/>
      <c r="G1714" s="788"/>
      <c r="H1714" s="788"/>
      <c r="I1714" s="788"/>
      <c r="J1714" s="788"/>
      <c r="K1714" s="788"/>
      <c r="L1714" s="788"/>
      <c r="M1714" s="786" t="s">
        <v>1514</v>
      </c>
      <c r="N1714" s="786"/>
      <c r="O1714" s="786"/>
      <c r="P1714" s="795">
        <f>+'13.Facility 2 - Besan'!C216</f>
        <v>5000</v>
      </c>
      <c r="Q1714" s="795"/>
      <c r="R1714" s="795"/>
      <c r="S1714" s="795"/>
      <c r="T1714" s="795"/>
      <c r="U1714" s="786" t="s">
        <v>921</v>
      </c>
      <c r="V1714" s="786"/>
      <c r="W1714" s="786"/>
      <c r="X1714" s="786"/>
      <c r="Y1714" s="786"/>
    </row>
    <row r="1715" spans="3:25">
      <c r="C1715" s="786"/>
      <c r="D1715" s="786"/>
      <c r="E1715" s="794" t="s">
        <v>320</v>
      </c>
      <c r="F1715" s="794"/>
      <c r="G1715" s="794"/>
      <c r="H1715" s="794"/>
      <c r="I1715" s="794"/>
      <c r="J1715" s="794"/>
      <c r="K1715" s="794"/>
      <c r="L1715" s="794"/>
      <c r="M1715" s="786"/>
      <c r="N1715" s="786"/>
      <c r="O1715" s="786"/>
      <c r="P1715" s="795"/>
      <c r="Q1715" s="795"/>
      <c r="R1715" s="795"/>
      <c r="S1715" s="795"/>
      <c r="T1715" s="795"/>
      <c r="U1715" s="786"/>
      <c r="V1715" s="786"/>
      <c r="W1715" s="786"/>
      <c r="X1715" s="786"/>
      <c r="Y1715" s="786"/>
    </row>
    <row r="1716" spans="3:25">
      <c r="C1716" s="786">
        <v>1</v>
      </c>
      <c r="D1716" s="786"/>
      <c r="E1716" s="788" t="str">
        <f>+'12.Facility 1 Dal Mill'!A141</f>
        <v>Bengal Gram</v>
      </c>
      <c r="F1716" s="788"/>
      <c r="G1716" s="788"/>
      <c r="H1716" s="788"/>
      <c r="I1716" s="788"/>
      <c r="J1716" s="788"/>
      <c r="K1716" s="788"/>
      <c r="L1716" s="788"/>
      <c r="M1716" s="786" t="s">
        <v>1514</v>
      </c>
      <c r="N1716" s="786"/>
      <c r="O1716" s="786"/>
      <c r="P1716" s="787">
        <f>+'12.Facility 1 Dal Mill'!C141*2</f>
        <v>7000</v>
      </c>
      <c r="Q1716" s="787"/>
      <c r="R1716" s="787"/>
      <c r="S1716" s="787"/>
      <c r="T1716" s="787"/>
      <c r="U1716" s="786" t="s">
        <v>921</v>
      </c>
      <c r="V1716" s="786"/>
      <c r="W1716" s="786"/>
      <c r="X1716" s="786"/>
      <c r="Y1716" s="786"/>
    </row>
    <row r="1717" spans="3:25">
      <c r="C1717" s="786">
        <v>2</v>
      </c>
      <c r="D1717" s="786"/>
      <c r="E1717" s="788" t="str">
        <f>+'12.Facility 1 Dal Mill'!A142</f>
        <v>Red Gram</v>
      </c>
      <c r="F1717" s="788"/>
      <c r="G1717" s="788"/>
      <c r="H1717" s="788"/>
      <c r="I1717" s="788"/>
      <c r="J1717" s="788"/>
      <c r="K1717" s="788"/>
      <c r="L1717" s="788"/>
      <c r="M1717" s="786" t="s">
        <v>1514</v>
      </c>
      <c r="N1717" s="786"/>
      <c r="O1717" s="786"/>
      <c r="P1717" s="787">
        <f>+'12.Facility 1 Dal Mill'!C142*2</f>
        <v>7500</v>
      </c>
      <c r="Q1717" s="787"/>
      <c r="R1717" s="787"/>
      <c r="S1717" s="787"/>
      <c r="T1717" s="787"/>
      <c r="U1717" s="786" t="s">
        <v>921</v>
      </c>
      <c r="V1717" s="786"/>
      <c r="W1717" s="786"/>
      <c r="X1717" s="786"/>
      <c r="Y1717" s="786"/>
    </row>
    <row r="1718" spans="3:25" hidden="1">
      <c r="C1718" s="786">
        <v>3</v>
      </c>
      <c r="D1718" s="786"/>
      <c r="E1718" s="788" t="str">
        <f>+'12.Facility 1 Dal Mill'!A143</f>
        <v xml:space="preserve">Black Gram </v>
      </c>
      <c r="F1718" s="788"/>
      <c r="G1718" s="788"/>
      <c r="H1718" s="788"/>
      <c r="I1718" s="788"/>
      <c r="J1718" s="788"/>
      <c r="K1718" s="788"/>
      <c r="L1718" s="788"/>
      <c r="M1718" s="786" t="s">
        <v>1514</v>
      </c>
      <c r="N1718" s="786"/>
      <c r="O1718" s="786"/>
      <c r="P1718" s="787">
        <f>+'12.Facility 1 Dal Mill'!C143*2</f>
        <v>8000</v>
      </c>
      <c r="Q1718" s="787"/>
      <c r="R1718" s="787"/>
      <c r="S1718" s="787"/>
      <c r="T1718" s="787"/>
      <c r="U1718" s="786" t="s">
        <v>921</v>
      </c>
      <c r="V1718" s="786"/>
      <c r="W1718" s="786"/>
      <c r="X1718" s="786"/>
      <c r="Y1718" s="786"/>
    </row>
    <row r="1719" spans="3:25" hidden="1">
      <c r="C1719" s="786">
        <v>4</v>
      </c>
      <c r="D1719" s="786"/>
      <c r="E1719" s="788" t="str">
        <f>+'12.Facility 1 Dal Mill'!A144</f>
        <v>Green Gram</v>
      </c>
      <c r="F1719" s="788"/>
      <c r="G1719" s="788"/>
      <c r="H1719" s="788"/>
      <c r="I1719" s="788"/>
      <c r="J1719" s="788"/>
      <c r="K1719" s="788"/>
      <c r="L1719" s="788"/>
      <c r="M1719" s="786" t="s">
        <v>1514</v>
      </c>
      <c r="N1719" s="786"/>
      <c r="O1719" s="786"/>
      <c r="P1719" s="787">
        <f>+'12.Facility 1 Dal Mill'!C144*2</f>
        <v>8000</v>
      </c>
      <c r="Q1719" s="787"/>
      <c r="R1719" s="787"/>
      <c r="S1719" s="787"/>
      <c r="T1719" s="787"/>
      <c r="U1719" s="786" t="s">
        <v>921</v>
      </c>
      <c r="V1719" s="786"/>
      <c r="W1719" s="786"/>
      <c r="X1719" s="786"/>
      <c r="Y1719" s="786"/>
    </row>
    <row r="1720" spans="3:25">
      <c r="C1720" s="786">
        <v>3</v>
      </c>
      <c r="D1720" s="786"/>
      <c r="E1720" s="788" t="e">
        <f>+'12.Facility 1 Dal Mill'!#REF!</f>
        <v>#REF!</v>
      </c>
      <c r="F1720" s="788"/>
      <c r="G1720" s="788"/>
      <c r="H1720" s="788"/>
      <c r="I1720" s="788"/>
      <c r="J1720" s="788"/>
      <c r="K1720" s="788"/>
      <c r="L1720" s="788"/>
      <c r="M1720" s="786" t="s">
        <v>1514</v>
      </c>
      <c r="N1720" s="786"/>
      <c r="O1720" s="786"/>
      <c r="P1720" s="787" t="e">
        <f>+'12.Facility 1 Dal Mill'!#REF!*2</f>
        <v>#REF!</v>
      </c>
      <c r="Q1720" s="787"/>
      <c r="R1720" s="787"/>
      <c r="S1720" s="787"/>
      <c r="T1720" s="787"/>
      <c r="U1720" s="786" t="s">
        <v>921</v>
      </c>
      <c r="V1720" s="786"/>
      <c r="W1720" s="786"/>
      <c r="X1720" s="786"/>
      <c r="Y1720" s="786"/>
    </row>
    <row r="1721" spans="3:25">
      <c r="C1721" s="786">
        <v>4</v>
      </c>
      <c r="D1721" s="786"/>
      <c r="E1721" s="788" t="e">
        <f>+'12.Facility 1 Dal Mill'!#REF!</f>
        <v>#REF!</v>
      </c>
      <c r="F1721" s="788"/>
      <c r="G1721" s="788"/>
      <c r="H1721" s="788"/>
      <c r="I1721" s="788"/>
      <c r="J1721" s="788"/>
      <c r="K1721" s="788"/>
      <c r="L1721" s="788"/>
      <c r="M1721" s="786" t="s">
        <v>1514</v>
      </c>
      <c r="N1721" s="786"/>
      <c r="O1721" s="786"/>
      <c r="P1721" s="787" t="e">
        <f>+'12.Facility 1 Dal Mill'!#REF!*2</f>
        <v>#REF!</v>
      </c>
      <c r="Q1721" s="787"/>
      <c r="R1721" s="787"/>
      <c r="S1721" s="787"/>
      <c r="T1721" s="787"/>
      <c r="U1721" s="786" t="s">
        <v>921</v>
      </c>
      <c r="V1721" s="786"/>
      <c r="W1721" s="786"/>
      <c r="X1721" s="786"/>
      <c r="Y1721" s="786"/>
    </row>
    <row r="1722" spans="3:25">
      <c r="C1722" s="786">
        <v>5</v>
      </c>
      <c r="D1722" s="786"/>
      <c r="E1722" s="788" t="e">
        <f>+'12.Facility 1 Dal Mill'!#REF!</f>
        <v>#REF!</v>
      </c>
      <c r="F1722" s="788"/>
      <c r="G1722" s="788"/>
      <c r="H1722" s="788"/>
      <c r="I1722" s="788"/>
      <c r="J1722" s="788"/>
      <c r="K1722" s="788"/>
      <c r="L1722" s="788"/>
      <c r="M1722" s="786" t="s">
        <v>1514</v>
      </c>
      <c r="N1722" s="786"/>
      <c r="O1722" s="786"/>
      <c r="P1722" s="787" t="e">
        <f>+'12.Facility 1 Dal Mill'!#REF!*2</f>
        <v>#REF!</v>
      </c>
      <c r="Q1722" s="787"/>
      <c r="R1722" s="787"/>
      <c r="S1722" s="787"/>
      <c r="T1722" s="787"/>
      <c r="U1722" s="786" t="s">
        <v>921</v>
      </c>
      <c r="V1722" s="786"/>
      <c r="W1722" s="786"/>
      <c r="X1722" s="786"/>
      <c r="Y1722" s="786"/>
    </row>
    <row r="1723" spans="3:25">
      <c r="C1723" s="786">
        <v>6</v>
      </c>
      <c r="D1723" s="786"/>
      <c r="E1723" s="788" t="e">
        <f>+'12.Facility 1 Dal Mill'!#REF!</f>
        <v>#REF!</v>
      </c>
      <c r="F1723" s="788"/>
      <c r="G1723" s="788"/>
      <c r="H1723" s="788"/>
      <c r="I1723" s="788"/>
      <c r="J1723" s="788"/>
      <c r="K1723" s="788"/>
      <c r="L1723" s="788"/>
      <c r="M1723" s="786" t="s">
        <v>1514</v>
      </c>
      <c r="N1723" s="786"/>
      <c r="O1723" s="786"/>
      <c r="P1723" s="787" t="e">
        <f>+'12.Facility 1 Dal Mill'!#REF!*2</f>
        <v>#REF!</v>
      </c>
      <c r="Q1723" s="787"/>
      <c r="R1723" s="787"/>
      <c r="S1723" s="787"/>
      <c r="T1723" s="787"/>
      <c r="U1723" s="786" t="s">
        <v>921</v>
      </c>
      <c r="V1723" s="786"/>
      <c r="W1723" s="786"/>
      <c r="X1723" s="786"/>
      <c r="Y1723" s="786"/>
    </row>
    <row r="1724" spans="3:25">
      <c r="C1724" s="786"/>
      <c r="D1724" s="786"/>
      <c r="E1724" s="794" t="s">
        <v>1742</v>
      </c>
      <c r="F1724" s="794"/>
      <c r="G1724" s="794"/>
      <c r="H1724" s="794"/>
      <c r="I1724" s="794"/>
      <c r="J1724" s="794"/>
      <c r="K1724" s="794"/>
      <c r="L1724" s="794"/>
      <c r="M1724" s="786"/>
      <c r="N1724" s="786"/>
      <c r="O1724" s="786"/>
      <c r="P1724" s="787"/>
      <c r="Q1724" s="787"/>
      <c r="R1724" s="787"/>
      <c r="S1724" s="787"/>
      <c r="T1724" s="787"/>
      <c r="U1724" s="786"/>
      <c r="V1724" s="786"/>
      <c r="W1724" s="786"/>
      <c r="X1724" s="786"/>
      <c r="Y1724" s="786"/>
    </row>
    <row r="1725" spans="3:25">
      <c r="C1725" s="789">
        <v>1</v>
      </c>
      <c r="D1725" s="786"/>
      <c r="E1725" s="788" t="str">
        <f>+'17.Facility 6 Horti Processing '!A243</f>
        <v>Exotic Vegitables</v>
      </c>
      <c r="F1725" s="788"/>
      <c r="G1725" s="788"/>
      <c r="H1725" s="788"/>
      <c r="I1725" s="788"/>
      <c r="J1725" s="788"/>
      <c r="K1725" s="788"/>
      <c r="L1725" s="788"/>
      <c r="M1725" s="786" t="s">
        <v>1514</v>
      </c>
      <c r="N1725" s="786"/>
      <c r="O1725" s="786"/>
      <c r="P1725" s="787">
        <f>+'17.Facility 6 Horti Processing '!C203</f>
        <v>2300</v>
      </c>
      <c r="Q1725" s="787"/>
      <c r="R1725" s="787"/>
      <c r="S1725" s="787"/>
      <c r="T1725" s="787"/>
      <c r="U1725" s="786" t="s">
        <v>921</v>
      </c>
      <c r="V1725" s="786"/>
      <c r="W1725" s="786"/>
      <c r="X1725" s="786"/>
      <c r="Y1725" s="786"/>
    </row>
    <row r="1726" spans="3:25">
      <c r="C1726" s="789">
        <v>2</v>
      </c>
      <c r="D1726" s="786"/>
      <c r="E1726" s="788" t="str">
        <f>+'17.Facility 6 Horti Processing '!A244</f>
        <v>Tomato</v>
      </c>
      <c r="F1726" s="788"/>
      <c r="G1726" s="788"/>
      <c r="H1726" s="788"/>
      <c r="I1726" s="788"/>
      <c r="J1726" s="788"/>
      <c r="K1726" s="788"/>
      <c r="L1726" s="788"/>
      <c r="M1726" s="786" t="s">
        <v>1514</v>
      </c>
      <c r="N1726" s="786"/>
      <c r="O1726" s="786"/>
      <c r="P1726" s="787">
        <f>+'17.Facility 6 Horti Processing '!C204</f>
        <v>5750</v>
      </c>
      <c r="Q1726" s="787"/>
      <c r="R1726" s="787"/>
      <c r="S1726" s="787"/>
      <c r="T1726" s="787"/>
      <c r="U1726" s="786" t="s">
        <v>921</v>
      </c>
      <c r="V1726" s="786"/>
      <c r="W1726" s="786"/>
      <c r="X1726" s="786"/>
      <c r="Y1726" s="786"/>
    </row>
    <row r="1727" spans="3:25">
      <c r="C1727" s="789">
        <v>3</v>
      </c>
      <c r="D1727" s="786"/>
      <c r="E1727" s="788" t="str">
        <f>+'17.Facility 6 Horti Processing '!A245</f>
        <v>Okra</v>
      </c>
      <c r="F1727" s="788"/>
      <c r="G1727" s="788"/>
      <c r="H1727" s="788"/>
      <c r="I1727" s="788"/>
      <c r="J1727" s="788"/>
      <c r="K1727" s="788"/>
      <c r="L1727" s="788"/>
      <c r="M1727" s="786" t="s">
        <v>1514</v>
      </c>
      <c r="N1727" s="786"/>
      <c r="O1727" s="786"/>
      <c r="P1727" s="787">
        <f>+'17.Facility 6 Horti Processing '!C205</f>
        <v>3449.9999999999995</v>
      </c>
      <c r="Q1727" s="787"/>
      <c r="R1727" s="787"/>
      <c r="S1727" s="787"/>
      <c r="T1727" s="787"/>
      <c r="U1727" s="786" t="s">
        <v>921</v>
      </c>
      <c r="V1727" s="786"/>
      <c r="W1727" s="786"/>
      <c r="X1727" s="786"/>
      <c r="Y1727" s="786"/>
    </row>
    <row r="1728" spans="3:25">
      <c r="C1728" s="789">
        <v>4</v>
      </c>
      <c r="D1728" s="786"/>
      <c r="E1728" s="788" t="str">
        <f>+'17.Facility 6 Horti Processing '!A246</f>
        <v>Chilli</v>
      </c>
      <c r="F1728" s="788"/>
      <c r="G1728" s="788"/>
      <c r="H1728" s="788"/>
      <c r="I1728" s="788"/>
      <c r="J1728" s="788"/>
      <c r="K1728" s="788"/>
      <c r="L1728" s="788"/>
      <c r="M1728" s="786" t="s">
        <v>1514</v>
      </c>
      <c r="N1728" s="786"/>
      <c r="O1728" s="786"/>
      <c r="P1728" s="787">
        <f>+'17.Facility 6 Horti Processing '!C206</f>
        <v>4600</v>
      </c>
      <c r="Q1728" s="787"/>
      <c r="R1728" s="787"/>
      <c r="S1728" s="787"/>
      <c r="T1728" s="787"/>
      <c r="U1728" s="786" t="s">
        <v>921</v>
      </c>
      <c r="V1728" s="786"/>
      <c r="W1728" s="786"/>
      <c r="X1728" s="786"/>
      <c r="Y1728" s="786"/>
    </row>
    <row r="1729" spans="3:25">
      <c r="C1729" s="789">
        <v>5</v>
      </c>
      <c r="D1729" s="786"/>
      <c r="E1729" s="788" t="str">
        <f>+'17.Facility 6 Horti Processing '!A247</f>
        <v>Potato</v>
      </c>
      <c r="F1729" s="788"/>
      <c r="G1729" s="788"/>
      <c r="H1729" s="788"/>
      <c r="I1729" s="788"/>
      <c r="J1729" s="788"/>
      <c r="K1729" s="788"/>
      <c r="L1729" s="788"/>
      <c r="M1729" s="786" t="s">
        <v>1514</v>
      </c>
      <c r="N1729" s="786"/>
      <c r="O1729" s="786"/>
      <c r="P1729" s="787">
        <f>+'17.Facility 6 Horti Processing '!C207</f>
        <v>2300</v>
      </c>
      <c r="Q1729" s="787"/>
      <c r="R1729" s="787"/>
      <c r="S1729" s="787"/>
      <c r="T1729" s="787"/>
      <c r="U1729" s="786" t="s">
        <v>921</v>
      </c>
      <c r="V1729" s="786"/>
      <c r="W1729" s="786"/>
      <c r="X1729" s="786"/>
      <c r="Y1729" s="786"/>
    </row>
    <row r="1730" spans="3:25">
      <c r="C1730" s="789">
        <v>6</v>
      </c>
      <c r="D1730" s="786"/>
      <c r="E1730" s="788" t="str">
        <f>+'17.Facility 6 Horti Processing '!A248</f>
        <v>Cabbage</v>
      </c>
      <c r="F1730" s="788"/>
      <c r="G1730" s="788"/>
      <c r="H1730" s="788"/>
      <c r="I1730" s="788"/>
      <c r="J1730" s="788"/>
      <c r="K1730" s="788"/>
      <c r="L1730" s="788"/>
      <c r="M1730" s="786" t="s">
        <v>1514</v>
      </c>
      <c r="N1730" s="786"/>
      <c r="O1730" s="786"/>
      <c r="P1730" s="787">
        <f>+'17.Facility 6 Horti Processing '!C208</f>
        <v>4024.9999999999995</v>
      </c>
      <c r="Q1730" s="787"/>
      <c r="R1730" s="787"/>
      <c r="S1730" s="787"/>
      <c r="T1730" s="787"/>
      <c r="U1730" s="786" t="s">
        <v>921</v>
      </c>
      <c r="V1730" s="786"/>
      <c r="W1730" s="786"/>
      <c r="X1730" s="786"/>
      <c r="Y1730" s="786"/>
    </row>
    <row r="1731" spans="3:25">
      <c r="C1731" s="789">
        <v>7</v>
      </c>
      <c r="D1731" s="786"/>
      <c r="E1731" s="788" t="str">
        <f>+'17.Facility 6 Horti Processing '!A249</f>
        <v>Coliflower</v>
      </c>
      <c r="F1731" s="788"/>
      <c r="G1731" s="788"/>
      <c r="H1731" s="788"/>
      <c r="I1731" s="788"/>
      <c r="J1731" s="788"/>
      <c r="K1731" s="788"/>
      <c r="L1731" s="788"/>
      <c r="M1731" s="786" t="s">
        <v>1514</v>
      </c>
      <c r="N1731" s="786"/>
      <c r="O1731" s="786"/>
      <c r="P1731" s="787">
        <f>+'17.Facility 6 Horti Processing '!C209</f>
        <v>3449.9999999999995</v>
      </c>
      <c r="Q1731" s="787"/>
      <c r="R1731" s="787"/>
      <c r="S1731" s="787"/>
      <c r="T1731" s="787"/>
      <c r="U1731" s="786" t="s">
        <v>921</v>
      </c>
      <c r="V1731" s="786"/>
      <c r="W1731" s="786"/>
      <c r="X1731" s="786"/>
      <c r="Y1731" s="786"/>
    </row>
    <row r="1732" spans="3:25">
      <c r="C1732" s="789">
        <v>8</v>
      </c>
      <c r="D1732" s="786"/>
      <c r="E1732" s="788" t="str">
        <f>+'17.Facility 6 Horti Processing '!A250</f>
        <v>Bitter Gurd</v>
      </c>
      <c r="F1732" s="788"/>
      <c r="G1732" s="788"/>
      <c r="H1732" s="788"/>
      <c r="I1732" s="788"/>
      <c r="J1732" s="788"/>
      <c r="K1732" s="788"/>
      <c r="L1732" s="788"/>
      <c r="M1732" s="786" t="s">
        <v>1514</v>
      </c>
      <c r="N1732" s="786"/>
      <c r="O1732" s="786"/>
      <c r="P1732" s="787">
        <f>+'17.Facility 6 Horti Processing '!C210</f>
        <v>2300</v>
      </c>
      <c r="Q1732" s="787"/>
      <c r="R1732" s="787"/>
      <c r="S1732" s="787"/>
      <c r="T1732" s="787"/>
      <c r="U1732" s="786" t="s">
        <v>921</v>
      </c>
      <c r="V1732" s="786"/>
      <c r="W1732" s="786"/>
      <c r="X1732" s="786"/>
      <c r="Y1732" s="786"/>
    </row>
    <row r="1733" spans="3:25" hidden="1">
      <c r="C1733" s="786"/>
      <c r="D1733" s="786"/>
      <c r="E1733" s="788">
        <f>+'17.Facility 6 Horti Processing '!A251</f>
        <v>0</v>
      </c>
      <c r="F1733" s="788"/>
      <c r="G1733" s="788"/>
      <c r="H1733" s="788"/>
      <c r="I1733" s="788"/>
      <c r="J1733" s="788"/>
      <c r="K1733" s="788"/>
      <c r="L1733" s="788"/>
      <c r="M1733" s="786" t="s">
        <v>1514</v>
      </c>
      <c r="N1733" s="786"/>
      <c r="O1733" s="786"/>
      <c r="P1733" s="787">
        <f>+'17.Facility 6 Horti Processing '!C211</f>
        <v>0</v>
      </c>
      <c r="Q1733" s="787"/>
      <c r="R1733" s="787"/>
      <c r="S1733" s="787"/>
      <c r="T1733" s="787"/>
      <c r="U1733" s="786" t="s">
        <v>921</v>
      </c>
      <c r="V1733" s="786"/>
      <c r="W1733" s="786"/>
      <c r="X1733" s="786"/>
      <c r="Y1733" s="786"/>
    </row>
    <row r="1734" spans="3:25">
      <c r="C1734" s="789">
        <v>9</v>
      </c>
      <c r="D1734" s="786"/>
      <c r="E1734" s="788" t="str">
        <f>+'17.Facility 6 Horti Processing '!A252</f>
        <v>Exotic Vegitables</v>
      </c>
      <c r="F1734" s="788"/>
      <c r="G1734" s="788"/>
      <c r="H1734" s="788"/>
      <c r="I1734" s="788"/>
      <c r="J1734" s="788"/>
      <c r="K1734" s="788"/>
      <c r="L1734" s="788"/>
      <c r="M1734" s="786" t="s">
        <v>1514</v>
      </c>
      <c r="N1734" s="786"/>
      <c r="O1734" s="786"/>
      <c r="P1734" s="787">
        <f>+'17.Facility 6 Horti Processing '!C212</f>
        <v>1724.9999999999998</v>
      </c>
      <c r="Q1734" s="787"/>
      <c r="R1734" s="787"/>
      <c r="S1734" s="787"/>
      <c r="T1734" s="787"/>
      <c r="U1734" s="786" t="s">
        <v>921</v>
      </c>
      <c r="V1734" s="786"/>
      <c r="W1734" s="786"/>
      <c r="X1734" s="786"/>
      <c r="Y1734" s="786"/>
    </row>
    <row r="1735" spans="3:25">
      <c r="C1735" s="789">
        <v>10</v>
      </c>
      <c r="D1735" s="786"/>
      <c r="E1735" s="788" t="str">
        <f>+'17.Facility 6 Horti Processing '!A253</f>
        <v>Tomato</v>
      </c>
      <c r="F1735" s="788"/>
      <c r="G1735" s="788"/>
      <c r="H1735" s="788"/>
      <c r="I1735" s="788"/>
      <c r="J1735" s="788"/>
      <c r="K1735" s="788"/>
      <c r="L1735" s="788"/>
      <c r="M1735" s="786" t="s">
        <v>1514</v>
      </c>
      <c r="N1735" s="786"/>
      <c r="O1735" s="786"/>
      <c r="P1735" s="787">
        <f>+'17.Facility 6 Horti Processing '!C213</f>
        <v>2875</v>
      </c>
      <c r="Q1735" s="787"/>
      <c r="R1735" s="787"/>
      <c r="S1735" s="787"/>
      <c r="T1735" s="787"/>
      <c r="U1735" s="786" t="s">
        <v>921</v>
      </c>
      <c r="V1735" s="786"/>
      <c r="W1735" s="786"/>
      <c r="X1735" s="786"/>
      <c r="Y1735" s="786"/>
    </row>
    <row r="1736" spans="3:25">
      <c r="C1736" s="789">
        <v>11</v>
      </c>
      <c r="D1736" s="786"/>
      <c r="E1736" s="788" t="str">
        <f>+'17.Facility 6 Horti Processing '!A254</f>
        <v>Okra</v>
      </c>
      <c r="F1736" s="788"/>
      <c r="G1736" s="788"/>
      <c r="H1736" s="788"/>
      <c r="I1736" s="788"/>
      <c r="J1736" s="788"/>
      <c r="K1736" s="788"/>
      <c r="L1736" s="788"/>
      <c r="M1736" s="786" t="s">
        <v>1514</v>
      </c>
      <c r="N1736" s="786"/>
      <c r="O1736" s="786"/>
      <c r="P1736" s="787">
        <f>+'17.Facility 6 Horti Processing '!C214</f>
        <v>2875</v>
      </c>
      <c r="Q1736" s="787"/>
      <c r="R1736" s="787"/>
      <c r="S1736" s="787"/>
      <c r="T1736" s="787"/>
      <c r="U1736" s="786" t="s">
        <v>921</v>
      </c>
      <c r="V1736" s="786"/>
      <c r="W1736" s="786"/>
      <c r="X1736" s="786"/>
      <c r="Y1736" s="786"/>
    </row>
    <row r="1737" spans="3:25">
      <c r="C1737" s="789">
        <v>12</v>
      </c>
      <c r="D1737" s="786"/>
      <c r="E1737" s="788" t="str">
        <f>+'17.Facility 6 Horti Processing '!A255</f>
        <v>Chilli</v>
      </c>
      <c r="F1737" s="788"/>
      <c r="G1737" s="788"/>
      <c r="H1737" s="788"/>
      <c r="I1737" s="788"/>
      <c r="J1737" s="788"/>
      <c r="K1737" s="788"/>
      <c r="L1737" s="788"/>
      <c r="M1737" s="786" t="s">
        <v>1514</v>
      </c>
      <c r="N1737" s="786"/>
      <c r="O1737" s="786"/>
      <c r="P1737" s="787">
        <f>+'17.Facility 6 Horti Processing '!C215</f>
        <v>4600</v>
      </c>
      <c r="Q1737" s="787"/>
      <c r="R1737" s="787"/>
      <c r="S1737" s="787"/>
      <c r="T1737" s="787"/>
      <c r="U1737" s="786" t="s">
        <v>921</v>
      </c>
      <c r="V1737" s="786"/>
      <c r="W1737" s="786"/>
      <c r="X1737" s="786"/>
      <c r="Y1737" s="786"/>
    </row>
    <row r="1738" spans="3:25">
      <c r="C1738" s="789">
        <v>13</v>
      </c>
      <c r="D1738" s="786"/>
      <c r="E1738" s="788" t="str">
        <f>+'17.Facility 6 Horti Processing '!A256</f>
        <v>Brinjal</v>
      </c>
      <c r="F1738" s="788"/>
      <c r="G1738" s="788"/>
      <c r="H1738" s="788"/>
      <c r="I1738" s="788"/>
      <c r="J1738" s="788"/>
      <c r="K1738" s="788"/>
      <c r="L1738" s="788"/>
      <c r="M1738" s="786" t="s">
        <v>1514</v>
      </c>
      <c r="N1738" s="786"/>
      <c r="O1738" s="786"/>
      <c r="P1738" s="787">
        <f>+'17.Facility 6 Horti Processing '!C216</f>
        <v>3449.9999999999995</v>
      </c>
      <c r="Q1738" s="787"/>
      <c r="R1738" s="787"/>
      <c r="S1738" s="787"/>
      <c r="T1738" s="787"/>
      <c r="U1738" s="786" t="s">
        <v>921</v>
      </c>
      <c r="V1738" s="786"/>
      <c r="W1738" s="786"/>
      <c r="X1738" s="786"/>
      <c r="Y1738" s="786"/>
    </row>
    <row r="1739" spans="3:25">
      <c r="C1739" s="789">
        <v>14</v>
      </c>
      <c r="D1739" s="786"/>
      <c r="E1739" s="788" t="str">
        <f>+'17.Facility 6 Horti Processing '!A257</f>
        <v>Ginger</v>
      </c>
      <c r="F1739" s="788"/>
      <c r="G1739" s="788"/>
      <c r="H1739" s="788"/>
      <c r="I1739" s="788"/>
      <c r="J1739" s="788"/>
      <c r="K1739" s="788"/>
      <c r="L1739" s="788"/>
      <c r="M1739" s="786" t="s">
        <v>1514</v>
      </c>
      <c r="N1739" s="786"/>
      <c r="O1739" s="786"/>
      <c r="P1739" s="787">
        <f>+'17.Facility 6 Horti Processing '!C217</f>
        <v>3449.9999999999995</v>
      </c>
      <c r="Q1739" s="787"/>
      <c r="R1739" s="787"/>
      <c r="S1739" s="787"/>
      <c r="T1739" s="787"/>
      <c r="U1739" s="786" t="s">
        <v>921</v>
      </c>
      <c r="V1739" s="786"/>
      <c r="W1739" s="786"/>
      <c r="X1739" s="786"/>
      <c r="Y1739" s="786"/>
    </row>
    <row r="1740" spans="3:25" hidden="1">
      <c r="C1740" s="786"/>
      <c r="D1740" s="786"/>
      <c r="E1740" s="788">
        <f>+'17.Facility 6 Horti Processing '!A258</f>
        <v>0</v>
      </c>
      <c r="F1740" s="788"/>
      <c r="G1740" s="788"/>
      <c r="H1740" s="788"/>
      <c r="I1740" s="788"/>
      <c r="J1740" s="788"/>
      <c r="K1740" s="788"/>
      <c r="L1740" s="788"/>
      <c r="M1740" s="786" t="s">
        <v>1514</v>
      </c>
      <c r="N1740" s="786"/>
      <c r="O1740" s="786"/>
      <c r="P1740" s="787">
        <f>+'17.Facility 6 Horti Processing '!C218</f>
        <v>0</v>
      </c>
      <c r="Q1740" s="787"/>
      <c r="R1740" s="787"/>
      <c r="S1740" s="787"/>
      <c r="T1740" s="787"/>
      <c r="U1740" s="786" t="s">
        <v>921</v>
      </c>
      <c r="V1740" s="786"/>
      <c r="W1740" s="786"/>
      <c r="X1740" s="786"/>
      <c r="Y1740" s="786"/>
    </row>
    <row r="1741" spans="3:25" hidden="1">
      <c r="C1741" s="786"/>
      <c r="D1741" s="786"/>
      <c r="E1741" s="788">
        <f>+'17.Facility 6 Horti Processing '!A259</f>
        <v>0</v>
      </c>
      <c r="F1741" s="788"/>
      <c r="G1741" s="788"/>
      <c r="H1741" s="788"/>
      <c r="I1741" s="788"/>
      <c r="J1741" s="788"/>
      <c r="K1741" s="788"/>
      <c r="L1741" s="788"/>
      <c r="M1741" s="786" t="s">
        <v>1514</v>
      </c>
      <c r="N1741" s="786"/>
      <c r="O1741" s="786"/>
      <c r="P1741" s="787">
        <f>+'17.Facility 6 Horti Processing '!C219</f>
        <v>0</v>
      </c>
      <c r="Q1741" s="787"/>
      <c r="R1741" s="787"/>
      <c r="S1741" s="787"/>
      <c r="T1741" s="787"/>
      <c r="U1741" s="786" t="s">
        <v>921</v>
      </c>
      <c r="V1741" s="786"/>
      <c r="W1741" s="786"/>
      <c r="X1741" s="786"/>
      <c r="Y1741" s="786"/>
    </row>
    <row r="1742" spans="3:25">
      <c r="C1742" s="789">
        <v>15</v>
      </c>
      <c r="D1742" s="786"/>
      <c r="E1742" s="788" t="str">
        <f>+'17.Facility 6 Horti Processing '!A260</f>
        <v>Spinach</v>
      </c>
      <c r="F1742" s="788"/>
      <c r="G1742" s="788"/>
      <c r="H1742" s="788"/>
      <c r="I1742" s="788"/>
      <c r="J1742" s="788"/>
      <c r="K1742" s="788"/>
      <c r="L1742" s="788"/>
      <c r="M1742" s="786" t="s">
        <v>1514</v>
      </c>
      <c r="N1742" s="786"/>
      <c r="O1742" s="786"/>
      <c r="P1742" s="787">
        <f>+'17.Facility 6 Horti Processing '!C220</f>
        <v>1724.9999999999998</v>
      </c>
      <c r="Q1742" s="787"/>
      <c r="R1742" s="787"/>
      <c r="S1742" s="787"/>
      <c r="T1742" s="787"/>
      <c r="U1742" s="786" t="s">
        <v>921</v>
      </c>
      <c r="V1742" s="786"/>
      <c r="W1742" s="786"/>
      <c r="X1742" s="786"/>
      <c r="Y1742" s="786"/>
    </row>
    <row r="1743" spans="3:25">
      <c r="C1743" s="789">
        <v>16</v>
      </c>
      <c r="D1743" s="786"/>
      <c r="E1743" s="788" t="str">
        <f>+'17.Facility 6 Horti Processing '!A261</f>
        <v>Fenugreek</v>
      </c>
      <c r="F1743" s="788"/>
      <c r="G1743" s="788"/>
      <c r="H1743" s="788"/>
      <c r="I1743" s="788"/>
      <c r="J1743" s="788"/>
      <c r="K1743" s="788"/>
      <c r="L1743" s="788"/>
      <c r="M1743" s="786" t="s">
        <v>1514</v>
      </c>
      <c r="N1743" s="786"/>
      <c r="O1743" s="786"/>
      <c r="P1743" s="787">
        <f>+'17.Facility 6 Horti Processing '!C221</f>
        <v>1150</v>
      </c>
      <c r="Q1743" s="787"/>
      <c r="R1743" s="787"/>
      <c r="S1743" s="787"/>
      <c r="T1743" s="787"/>
      <c r="U1743" s="786" t="s">
        <v>921</v>
      </c>
      <c r="V1743" s="786"/>
      <c r="W1743" s="786"/>
      <c r="X1743" s="786"/>
      <c r="Y1743" s="786"/>
    </row>
    <row r="1744" spans="3:25">
      <c r="C1744" s="789">
        <v>17</v>
      </c>
      <c r="D1744" s="786"/>
      <c r="E1744" s="788" t="str">
        <f>+'17.Facility 6 Horti Processing '!A262</f>
        <v>coriander</v>
      </c>
      <c r="F1744" s="788"/>
      <c r="G1744" s="788"/>
      <c r="H1744" s="788"/>
      <c r="I1744" s="788"/>
      <c r="J1744" s="788"/>
      <c r="K1744" s="788"/>
      <c r="L1744" s="788"/>
      <c r="M1744" s="786" t="s">
        <v>1514</v>
      </c>
      <c r="N1744" s="786"/>
      <c r="O1744" s="786"/>
      <c r="P1744" s="787">
        <f>+'17.Facility 6 Horti Processing '!C222</f>
        <v>2875</v>
      </c>
      <c r="Q1744" s="787"/>
      <c r="R1744" s="787"/>
      <c r="S1744" s="787"/>
      <c r="T1744" s="787"/>
      <c r="U1744" s="786" t="s">
        <v>921</v>
      </c>
      <c r="V1744" s="786"/>
      <c r="W1744" s="786"/>
      <c r="X1744" s="786"/>
      <c r="Y1744" s="786"/>
    </row>
    <row r="1745" spans="3:25">
      <c r="C1745" s="789">
        <v>18</v>
      </c>
      <c r="D1745" s="786"/>
      <c r="E1745" s="788" t="str">
        <f>+'17.Facility 6 Horti Processing '!A263</f>
        <v>Shepu</v>
      </c>
      <c r="F1745" s="788"/>
      <c r="G1745" s="788"/>
      <c r="H1745" s="788"/>
      <c r="I1745" s="788"/>
      <c r="J1745" s="788"/>
      <c r="K1745" s="788"/>
      <c r="L1745" s="788"/>
      <c r="M1745" s="786" t="s">
        <v>1514</v>
      </c>
      <c r="N1745" s="786"/>
      <c r="O1745" s="786"/>
      <c r="P1745" s="787">
        <f>+'17.Facility 6 Horti Processing '!C223</f>
        <v>1380</v>
      </c>
      <c r="Q1745" s="787"/>
      <c r="R1745" s="787"/>
      <c r="S1745" s="787"/>
      <c r="T1745" s="787"/>
      <c r="U1745" s="786" t="s">
        <v>921</v>
      </c>
      <c r="V1745" s="786"/>
      <c r="W1745" s="786"/>
      <c r="X1745" s="786"/>
      <c r="Y1745" s="786"/>
    </row>
    <row r="1746" spans="3:25" hidden="1">
      <c r="C1746" s="786"/>
      <c r="D1746" s="786"/>
      <c r="E1746" s="788">
        <f>+'17.Facility 6 Horti Processing '!A264</f>
        <v>0</v>
      </c>
      <c r="F1746" s="788"/>
      <c r="G1746" s="788"/>
      <c r="H1746" s="788"/>
      <c r="I1746" s="788"/>
      <c r="J1746" s="788"/>
      <c r="K1746" s="788"/>
      <c r="L1746" s="788"/>
      <c r="M1746" s="786" t="s">
        <v>1514</v>
      </c>
      <c r="N1746" s="786"/>
      <c r="O1746" s="786"/>
      <c r="P1746" s="787">
        <f>+'17.Facility 6 Horti Processing '!C224</f>
        <v>0</v>
      </c>
      <c r="Q1746" s="787"/>
      <c r="R1746" s="787"/>
      <c r="S1746" s="787"/>
      <c r="T1746" s="787"/>
      <c r="U1746" s="786" t="s">
        <v>921</v>
      </c>
      <c r="V1746" s="786"/>
      <c r="W1746" s="786"/>
      <c r="X1746" s="786"/>
      <c r="Y1746" s="786"/>
    </row>
    <row r="1747" spans="3:25">
      <c r="C1747" s="789">
        <v>19</v>
      </c>
      <c r="D1747" s="786"/>
      <c r="E1747" s="788" t="str">
        <f>+'17.Facility 6 Horti Processing '!A265</f>
        <v>Pomegranate</v>
      </c>
      <c r="F1747" s="788"/>
      <c r="G1747" s="788"/>
      <c r="H1747" s="788"/>
      <c r="I1747" s="788"/>
      <c r="J1747" s="788"/>
      <c r="K1747" s="788"/>
      <c r="L1747" s="788"/>
      <c r="M1747" s="786" t="s">
        <v>1514</v>
      </c>
      <c r="N1747" s="786"/>
      <c r="O1747" s="786"/>
      <c r="P1747" s="787">
        <f>+'17.Facility 6 Horti Processing '!C225</f>
        <v>5500</v>
      </c>
      <c r="Q1747" s="787"/>
      <c r="R1747" s="787"/>
      <c r="S1747" s="787"/>
      <c r="T1747" s="787"/>
      <c r="U1747" s="786" t="s">
        <v>921</v>
      </c>
      <c r="V1747" s="786"/>
      <c r="W1747" s="786"/>
      <c r="X1747" s="786"/>
      <c r="Y1747" s="786"/>
    </row>
    <row r="1748" spans="3:25">
      <c r="C1748" s="789">
        <v>20</v>
      </c>
      <c r="D1748" s="786"/>
      <c r="E1748" s="788" t="str">
        <f>+'17.Facility 6 Horti Processing '!A266</f>
        <v>Banana</v>
      </c>
      <c r="F1748" s="788"/>
      <c r="G1748" s="788"/>
      <c r="H1748" s="788"/>
      <c r="I1748" s="788"/>
      <c r="J1748" s="788"/>
      <c r="K1748" s="788"/>
      <c r="L1748" s="788"/>
      <c r="M1748" s="786" t="s">
        <v>1514</v>
      </c>
      <c r="N1748" s="786"/>
      <c r="O1748" s="786"/>
      <c r="P1748" s="787">
        <f>+'17.Facility 6 Horti Processing '!C226</f>
        <v>5500</v>
      </c>
      <c r="Q1748" s="787"/>
      <c r="R1748" s="787"/>
      <c r="S1748" s="787"/>
      <c r="T1748" s="787"/>
      <c r="U1748" s="786" t="s">
        <v>921</v>
      </c>
      <c r="V1748" s="786"/>
      <c r="W1748" s="786"/>
      <c r="X1748" s="786"/>
      <c r="Y1748" s="786"/>
    </row>
    <row r="1749" spans="3:25">
      <c r="C1749" s="789">
        <v>21</v>
      </c>
      <c r="D1749" s="786"/>
      <c r="E1749" s="788" t="str">
        <f>+'17.Facility 6 Horti Processing '!A267</f>
        <v>Graps</v>
      </c>
      <c r="F1749" s="788"/>
      <c r="G1749" s="788"/>
      <c r="H1749" s="788"/>
      <c r="I1749" s="788"/>
      <c r="J1749" s="788"/>
      <c r="K1749" s="788"/>
      <c r="L1749" s="788"/>
      <c r="M1749" s="786" t="s">
        <v>1514</v>
      </c>
      <c r="N1749" s="786"/>
      <c r="O1749" s="786"/>
      <c r="P1749" s="787">
        <f>+'17.Facility 6 Horti Processing '!C227</f>
        <v>5500</v>
      </c>
      <c r="Q1749" s="787"/>
      <c r="R1749" s="787"/>
      <c r="S1749" s="787"/>
      <c r="T1749" s="787"/>
      <c r="U1749" s="786" t="s">
        <v>921</v>
      </c>
      <c r="V1749" s="786"/>
      <c r="W1749" s="786"/>
      <c r="X1749" s="786"/>
      <c r="Y1749" s="786"/>
    </row>
    <row r="1750" spans="3:25">
      <c r="C1750" s="789">
        <v>22</v>
      </c>
      <c r="D1750" s="786"/>
      <c r="E1750" s="788" t="str">
        <f>+'17.Facility 6 Horti Processing '!A269</f>
        <v>Citrus</v>
      </c>
      <c r="F1750" s="788"/>
      <c r="G1750" s="788"/>
      <c r="H1750" s="788"/>
      <c r="I1750" s="788"/>
      <c r="J1750" s="788"/>
      <c r="K1750" s="788"/>
      <c r="L1750" s="788"/>
      <c r="M1750" s="786" t="s">
        <v>1514</v>
      </c>
      <c r="N1750" s="786"/>
      <c r="O1750" s="786"/>
      <c r="P1750" s="787">
        <f>+'17.Facility 6 Horti Processing '!C229</f>
        <v>5500</v>
      </c>
      <c r="Q1750" s="787"/>
      <c r="R1750" s="787"/>
      <c r="S1750" s="787"/>
      <c r="T1750" s="787"/>
      <c r="U1750" s="786" t="s">
        <v>921</v>
      </c>
      <c r="V1750" s="786"/>
      <c r="W1750" s="786"/>
      <c r="X1750" s="786"/>
      <c r="Y1750" s="786"/>
    </row>
    <row r="1751" spans="3:25" hidden="1">
      <c r="C1751" s="786"/>
      <c r="D1751" s="786"/>
      <c r="E1751" s="788">
        <f>+'17.Facility 6 Horti Processing '!A270</f>
        <v>0</v>
      </c>
      <c r="F1751" s="788"/>
      <c r="G1751" s="788"/>
      <c r="H1751" s="788"/>
      <c r="I1751" s="788"/>
      <c r="J1751" s="788"/>
      <c r="K1751" s="788"/>
      <c r="L1751" s="788"/>
      <c r="M1751" s="786" t="s">
        <v>1514</v>
      </c>
      <c r="N1751" s="786"/>
      <c r="O1751" s="786"/>
      <c r="P1751" s="787">
        <f>+'17.Facility 6 Horti Processing '!C230</f>
        <v>0</v>
      </c>
      <c r="Q1751" s="787"/>
      <c r="R1751" s="787"/>
      <c r="S1751" s="787"/>
      <c r="T1751" s="787"/>
      <c r="U1751" s="786" t="s">
        <v>921</v>
      </c>
      <c r="V1751" s="786"/>
      <c r="W1751" s="786"/>
      <c r="X1751" s="786"/>
      <c r="Y1751" s="786"/>
    </row>
    <row r="1752" spans="3:25">
      <c r="C1752" s="786"/>
      <c r="D1752" s="786"/>
      <c r="E1752" s="788"/>
      <c r="F1752" s="788"/>
      <c r="G1752" s="788"/>
      <c r="H1752" s="788"/>
      <c r="I1752" s="788"/>
      <c r="J1752" s="788"/>
      <c r="K1752" s="788"/>
      <c r="L1752" s="788"/>
      <c r="M1752" s="786"/>
      <c r="N1752" s="786"/>
      <c r="O1752" s="786"/>
      <c r="P1752" s="787"/>
      <c r="Q1752" s="787"/>
      <c r="R1752" s="787"/>
      <c r="S1752" s="787"/>
      <c r="T1752" s="787"/>
      <c r="U1752" s="786"/>
      <c r="V1752" s="786"/>
      <c r="W1752" s="786"/>
      <c r="X1752" s="786"/>
      <c r="Y1752" s="786"/>
    </row>
    <row r="1753" spans="3:25">
      <c r="C1753" s="5" t="s">
        <v>1335</v>
      </c>
    </row>
    <row r="1755" spans="3:25" ht="30.75" customHeight="1">
      <c r="C1755" s="867" t="s">
        <v>952</v>
      </c>
      <c r="D1755" s="867"/>
      <c r="E1755" s="867" t="s">
        <v>1058</v>
      </c>
      <c r="F1755" s="867"/>
      <c r="G1755" s="867"/>
      <c r="H1755" s="867"/>
      <c r="I1755" s="867"/>
      <c r="J1755" s="867"/>
      <c r="K1755" s="867"/>
      <c r="L1755" s="867"/>
      <c r="M1755" s="871" t="s">
        <v>1336</v>
      </c>
      <c r="N1755" s="872"/>
      <c r="O1755" s="872"/>
      <c r="P1755" s="873"/>
      <c r="Q1755" s="871" t="s">
        <v>1112</v>
      </c>
      <c r="R1755" s="872"/>
      <c r="S1755" s="872"/>
      <c r="T1755" s="872"/>
      <c r="U1755" s="872"/>
      <c r="V1755" s="872"/>
      <c r="W1755" s="872"/>
      <c r="X1755" s="872"/>
      <c r="Y1755" s="873"/>
    </row>
    <row r="1756" spans="3:25">
      <c r="C1756" s="777">
        <v>1</v>
      </c>
      <c r="D1756" s="778"/>
      <c r="E1756" s="779" t="str">
        <f>+'10.Grain Production details'!A42</f>
        <v>Soybean</v>
      </c>
      <c r="F1756" s="779"/>
      <c r="G1756" s="779"/>
      <c r="H1756" s="779"/>
      <c r="I1756" s="779"/>
      <c r="J1756" s="779"/>
      <c r="K1756" s="779"/>
      <c r="L1756" s="779"/>
      <c r="M1756" s="780">
        <f>+'13.Facility 2 - Besan'!C226</f>
        <v>5000</v>
      </c>
      <c r="N1756" s="781"/>
      <c r="O1756" s="781"/>
      <c r="P1756" s="782"/>
      <c r="Q1756" s="783" t="s">
        <v>1743</v>
      </c>
      <c r="R1756" s="784"/>
      <c r="S1756" s="784"/>
      <c r="T1756" s="784"/>
      <c r="U1756" s="784"/>
      <c r="V1756" s="784"/>
      <c r="W1756" s="784"/>
      <c r="X1756" s="784"/>
      <c r="Y1756" s="785"/>
    </row>
    <row r="1757" spans="3:25">
      <c r="C1757" s="777">
        <v>2</v>
      </c>
      <c r="D1757" s="778"/>
      <c r="E1757" s="779" t="str">
        <f>+'10.Grain Production details'!A43</f>
        <v>Red Gram/Tur</v>
      </c>
      <c r="F1757" s="779"/>
      <c r="G1757" s="779"/>
      <c r="H1757" s="779"/>
      <c r="I1757" s="779"/>
      <c r="J1757" s="779"/>
      <c r="K1757" s="779"/>
      <c r="L1757" s="779"/>
      <c r="M1757" s="780" t="e">
        <f>+'13.Facility 2 - Besan'!#REF!</f>
        <v>#REF!</v>
      </c>
      <c r="N1757" s="781"/>
      <c r="O1757" s="781"/>
      <c r="P1757" s="782"/>
      <c r="Q1757" s="783" t="s">
        <v>1743</v>
      </c>
      <c r="R1757" s="784"/>
      <c r="S1757" s="784"/>
      <c r="T1757" s="784"/>
      <c r="U1757" s="784"/>
      <c r="V1757" s="784"/>
      <c r="W1757" s="784"/>
      <c r="X1757" s="784"/>
      <c r="Y1757" s="785"/>
    </row>
    <row r="1758" spans="3:25" ht="15" hidden="1" customHeight="1">
      <c r="C1758" s="777">
        <v>3</v>
      </c>
      <c r="D1758" s="778"/>
      <c r="E1758" s="779" t="str">
        <f>+'10.Grain Production details'!A44</f>
        <v>Paddy/Rice</v>
      </c>
      <c r="F1758" s="779"/>
      <c r="G1758" s="779"/>
      <c r="H1758" s="779"/>
      <c r="I1758" s="779"/>
      <c r="J1758" s="779"/>
      <c r="K1758" s="779"/>
      <c r="L1758" s="779"/>
      <c r="M1758" s="780" t="e">
        <f>+'13.Facility 2 - Besan'!#REF!</f>
        <v>#REF!</v>
      </c>
      <c r="N1758" s="781"/>
      <c r="O1758" s="781"/>
      <c r="P1758" s="782"/>
      <c r="Q1758" s="783" t="s">
        <v>1743</v>
      </c>
      <c r="R1758" s="784"/>
      <c r="S1758" s="784"/>
      <c r="T1758" s="784"/>
      <c r="U1758" s="784"/>
      <c r="V1758" s="784"/>
      <c r="W1758" s="784"/>
      <c r="X1758" s="784"/>
      <c r="Y1758" s="785"/>
    </row>
    <row r="1759" spans="3:25" ht="15" hidden="1" customHeight="1">
      <c r="C1759" s="777">
        <v>4</v>
      </c>
      <c r="D1759" s="778"/>
      <c r="E1759" s="779" t="str">
        <f>+'10.Grain Production details'!A45</f>
        <v>Green Gram/ Moong</v>
      </c>
      <c r="F1759" s="779"/>
      <c r="G1759" s="779"/>
      <c r="H1759" s="779"/>
      <c r="I1759" s="779"/>
      <c r="J1759" s="779"/>
      <c r="K1759" s="779"/>
      <c r="L1759" s="779"/>
      <c r="M1759" s="780" t="e">
        <f>+'13.Facility 2 - Besan'!#REF!</f>
        <v>#REF!</v>
      </c>
      <c r="N1759" s="781"/>
      <c r="O1759" s="781"/>
      <c r="P1759" s="782"/>
      <c r="Q1759" s="783" t="s">
        <v>1743</v>
      </c>
      <c r="R1759" s="784"/>
      <c r="S1759" s="784"/>
      <c r="T1759" s="784"/>
      <c r="U1759" s="784"/>
      <c r="V1759" s="784"/>
      <c r="W1759" s="784"/>
      <c r="X1759" s="784"/>
      <c r="Y1759" s="785"/>
    </row>
    <row r="1760" spans="3:25">
      <c r="C1760" s="777">
        <v>5</v>
      </c>
      <c r="D1760" s="778"/>
      <c r="E1760" s="779" t="str">
        <f>+'10.Grain Production details'!A46</f>
        <v>Maize</v>
      </c>
      <c r="F1760" s="779"/>
      <c r="G1760" s="779"/>
      <c r="H1760" s="779"/>
      <c r="I1760" s="779"/>
      <c r="J1760" s="779"/>
      <c r="K1760" s="779"/>
      <c r="L1760" s="779"/>
      <c r="M1760" s="780" t="e">
        <f>+'13.Facility 2 - Besan'!#REF!</f>
        <v>#REF!</v>
      </c>
      <c r="N1760" s="781"/>
      <c r="O1760" s="781"/>
      <c r="P1760" s="782"/>
      <c r="Q1760" s="783" t="s">
        <v>1743</v>
      </c>
      <c r="R1760" s="784"/>
      <c r="S1760" s="784"/>
      <c r="T1760" s="784"/>
      <c r="U1760" s="784"/>
      <c r="V1760" s="784"/>
      <c r="W1760" s="784"/>
      <c r="X1760" s="784"/>
      <c r="Y1760" s="785"/>
    </row>
    <row r="1761" spans="3:25" ht="15" hidden="1" customHeight="1">
      <c r="C1761" s="777">
        <v>6</v>
      </c>
      <c r="D1761" s="778"/>
      <c r="E1761" s="779" t="str">
        <f>+'10.Grain Production details'!A47</f>
        <v>Black Gram/Udid</v>
      </c>
      <c r="F1761" s="779"/>
      <c r="G1761" s="779"/>
      <c r="H1761" s="779"/>
      <c r="I1761" s="779"/>
      <c r="J1761" s="779"/>
      <c r="K1761" s="779"/>
      <c r="L1761" s="779"/>
      <c r="M1761" s="780" t="e">
        <f>+'13.Facility 2 - Besan'!#REF!</f>
        <v>#REF!</v>
      </c>
      <c r="N1761" s="781"/>
      <c r="O1761" s="781"/>
      <c r="P1761" s="782"/>
      <c r="Q1761" s="783" t="s">
        <v>1743</v>
      </c>
      <c r="R1761" s="784"/>
      <c r="S1761" s="784"/>
      <c r="T1761" s="784"/>
      <c r="U1761" s="784"/>
      <c r="V1761" s="784"/>
      <c r="W1761" s="784"/>
      <c r="X1761" s="784"/>
      <c r="Y1761" s="785"/>
    </row>
    <row r="1762" spans="3:25">
      <c r="C1762" s="777">
        <v>7</v>
      </c>
      <c r="D1762" s="778"/>
      <c r="E1762" s="779" t="str">
        <f>+'10.Grain Production details'!A48</f>
        <v>Bajra</v>
      </c>
      <c r="F1762" s="779"/>
      <c r="G1762" s="779"/>
      <c r="H1762" s="779"/>
      <c r="I1762" s="779"/>
      <c r="J1762" s="779"/>
      <c r="K1762" s="779"/>
      <c r="L1762" s="779"/>
      <c r="M1762" s="780" t="e">
        <f>+'13.Facility 2 - Besan'!#REF!</f>
        <v>#REF!</v>
      </c>
      <c r="N1762" s="781"/>
      <c r="O1762" s="781"/>
      <c r="P1762" s="782"/>
      <c r="Q1762" s="783" t="s">
        <v>1743</v>
      </c>
      <c r="R1762" s="784"/>
      <c r="S1762" s="784"/>
      <c r="T1762" s="784"/>
      <c r="U1762" s="784"/>
      <c r="V1762" s="784"/>
      <c r="W1762" s="784"/>
      <c r="X1762" s="784"/>
      <c r="Y1762" s="785"/>
    </row>
    <row r="1763" spans="3:25" ht="15" hidden="1" customHeight="1">
      <c r="C1763" s="777">
        <v>8</v>
      </c>
      <c r="D1763" s="778"/>
      <c r="E1763" s="779" t="str">
        <f>+'10.Grain Production details'!A49</f>
        <v>Jawar</v>
      </c>
      <c r="F1763" s="779"/>
      <c r="G1763" s="779"/>
      <c r="H1763" s="779"/>
      <c r="I1763" s="779"/>
      <c r="J1763" s="779"/>
      <c r="K1763" s="779"/>
      <c r="L1763" s="779"/>
      <c r="M1763" s="780" t="e">
        <f>+'13.Facility 2 - Besan'!#REF!</f>
        <v>#REF!</v>
      </c>
      <c r="N1763" s="781"/>
      <c r="O1763" s="781"/>
      <c r="P1763" s="782"/>
      <c r="Q1763" s="783" t="s">
        <v>1743</v>
      </c>
      <c r="R1763" s="784"/>
      <c r="S1763" s="784"/>
      <c r="T1763" s="784"/>
      <c r="U1763" s="784"/>
      <c r="V1763" s="784"/>
      <c r="W1763" s="784"/>
      <c r="X1763" s="784"/>
      <c r="Y1763" s="785"/>
    </row>
    <row r="1764" spans="3:25" ht="15" hidden="1" customHeight="1">
      <c r="C1764" s="777">
        <v>9</v>
      </c>
      <c r="D1764" s="778"/>
      <c r="E1764" s="779" t="str">
        <f>+'10.Grain Production details'!A50</f>
        <v>Sunflower</v>
      </c>
      <c r="F1764" s="779"/>
      <c r="G1764" s="779"/>
      <c r="H1764" s="779"/>
      <c r="I1764" s="779"/>
      <c r="J1764" s="779"/>
      <c r="K1764" s="779"/>
      <c r="L1764" s="779"/>
      <c r="M1764" s="780" t="e">
        <f>+'13.Facility 2 - Besan'!#REF!</f>
        <v>#REF!</v>
      </c>
      <c r="N1764" s="781"/>
      <c r="O1764" s="781"/>
      <c r="P1764" s="782"/>
      <c r="Q1764" s="783" t="s">
        <v>1743</v>
      </c>
      <c r="R1764" s="784"/>
      <c r="S1764" s="784"/>
      <c r="T1764" s="784"/>
      <c r="U1764" s="784"/>
      <c r="V1764" s="784"/>
      <c r="W1764" s="784"/>
      <c r="X1764" s="784"/>
      <c r="Y1764" s="785"/>
    </row>
    <row r="1765" spans="3:25">
      <c r="C1765" s="777">
        <v>10</v>
      </c>
      <c r="D1765" s="778"/>
      <c r="E1765" s="779" t="str">
        <f>+'10.Grain Production details'!A51</f>
        <v>Wheat</v>
      </c>
      <c r="F1765" s="779"/>
      <c r="G1765" s="779"/>
      <c r="H1765" s="779"/>
      <c r="I1765" s="779"/>
      <c r="J1765" s="779"/>
      <c r="K1765" s="779"/>
      <c r="L1765" s="779"/>
      <c r="M1765" s="780" t="e">
        <f>+'13.Facility 2 - Besan'!#REF!</f>
        <v>#REF!</v>
      </c>
      <c r="N1765" s="781"/>
      <c r="O1765" s="781"/>
      <c r="P1765" s="782"/>
      <c r="Q1765" s="783" t="s">
        <v>1743</v>
      </c>
      <c r="R1765" s="784"/>
      <c r="S1765" s="784"/>
      <c r="T1765" s="784"/>
      <c r="U1765" s="784"/>
      <c r="V1765" s="784"/>
      <c r="W1765" s="784"/>
      <c r="X1765" s="784"/>
      <c r="Y1765" s="785"/>
    </row>
    <row r="1766" spans="3:25">
      <c r="C1766" s="777">
        <v>11</v>
      </c>
      <c r="D1766" s="778"/>
      <c r="E1766" s="779" t="str">
        <f>+'10.Grain Production details'!A52</f>
        <v>Bengal Gram/Channa</v>
      </c>
      <c r="F1766" s="779"/>
      <c r="G1766" s="779"/>
      <c r="H1766" s="779"/>
      <c r="I1766" s="779"/>
      <c r="J1766" s="779"/>
      <c r="K1766" s="779"/>
      <c r="L1766" s="779"/>
      <c r="M1766" s="780" t="e">
        <f>+'13.Facility 2 - Besan'!#REF!</f>
        <v>#REF!</v>
      </c>
      <c r="N1766" s="781"/>
      <c r="O1766" s="781"/>
      <c r="P1766" s="782"/>
      <c r="Q1766" s="783" t="s">
        <v>1743</v>
      </c>
      <c r="R1766" s="784"/>
      <c r="S1766" s="784"/>
      <c r="T1766" s="784"/>
      <c r="U1766" s="784"/>
      <c r="V1766" s="784"/>
      <c r="W1766" s="784"/>
      <c r="X1766" s="784"/>
      <c r="Y1766" s="785"/>
    </row>
    <row r="1767" spans="3:25">
      <c r="C1767" s="777">
        <v>12</v>
      </c>
      <c r="D1767" s="778"/>
      <c r="E1767" s="779" t="str">
        <f>+'10.Grain Production details'!A53</f>
        <v>Jawar</v>
      </c>
      <c r="F1767" s="779"/>
      <c r="G1767" s="779"/>
      <c r="H1767" s="779"/>
      <c r="I1767" s="779"/>
      <c r="J1767" s="779"/>
      <c r="K1767" s="779"/>
      <c r="L1767" s="779"/>
      <c r="M1767" s="780" t="e">
        <f>+'13.Facility 2 - Besan'!#REF!</f>
        <v>#REF!</v>
      </c>
      <c r="N1767" s="781"/>
      <c r="O1767" s="781"/>
      <c r="P1767" s="782"/>
      <c r="Q1767" s="783" t="s">
        <v>1743</v>
      </c>
      <c r="R1767" s="784"/>
      <c r="S1767" s="784"/>
      <c r="T1767" s="784"/>
      <c r="U1767" s="784"/>
      <c r="V1767" s="784"/>
      <c r="W1767" s="784"/>
      <c r="X1767" s="784"/>
      <c r="Y1767" s="785"/>
    </row>
    <row r="1768" spans="3:25">
      <c r="C1768" s="777">
        <v>13</v>
      </c>
      <c r="D1768" s="778"/>
      <c r="E1768" s="779" t="str">
        <f>+'10.Grain Production details'!A54</f>
        <v>Maize</v>
      </c>
      <c r="F1768" s="779"/>
      <c r="G1768" s="779"/>
      <c r="H1768" s="779"/>
      <c r="I1768" s="779"/>
      <c r="J1768" s="779"/>
      <c r="K1768" s="779"/>
      <c r="L1768" s="779"/>
      <c r="M1768" s="780">
        <f>+'13.Facility 2 - Besan'!C227</f>
        <v>1400</v>
      </c>
      <c r="N1768" s="781"/>
      <c r="O1768" s="781"/>
      <c r="P1768" s="782"/>
      <c r="Q1768" s="783" t="s">
        <v>1743</v>
      </c>
      <c r="R1768" s="784"/>
      <c r="S1768" s="784"/>
      <c r="T1768" s="784"/>
      <c r="U1768" s="784"/>
      <c r="V1768" s="784"/>
      <c r="W1768" s="784"/>
      <c r="X1768" s="784"/>
      <c r="Y1768" s="785"/>
    </row>
    <row r="1769" spans="3:25" ht="15" hidden="1" customHeight="1">
      <c r="C1769" s="777">
        <v>14</v>
      </c>
      <c r="D1769" s="778"/>
      <c r="E1769" s="779" t="str">
        <f>+'10.Grain Production details'!A55</f>
        <v>Safflower</v>
      </c>
      <c r="F1769" s="779"/>
      <c r="G1769" s="779"/>
      <c r="H1769" s="779"/>
      <c r="I1769" s="779"/>
      <c r="J1769" s="779"/>
      <c r="K1769" s="779"/>
      <c r="L1769" s="779"/>
      <c r="M1769" s="780">
        <f>+'13.Facility 2 - Besan'!C228</f>
        <v>0</v>
      </c>
      <c r="N1769" s="781"/>
      <c r="O1769" s="781"/>
      <c r="P1769" s="782"/>
      <c r="Q1769" s="874"/>
      <c r="R1769" s="875"/>
      <c r="S1769" s="875"/>
      <c r="T1769" s="875"/>
      <c r="U1769" s="875"/>
      <c r="V1769" s="875"/>
      <c r="W1769" s="875"/>
      <c r="X1769" s="875"/>
      <c r="Y1769" s="876"/>
    </row>
    <row r="1770" spans="3:25" hidden="1">
      <c r="C1770" s="777">
        <v>15</v>
      </c>
      <c r="D1770" s="778"/>
      <c r="E1770" s="779" t="str">
        <f>+'13.Facility 2 - Besan'!A204</f>
        <v>Exotic Vegitables</v>
      </c>
      <c r="F1770" s="779"/>
      <c r="G1770" s="779"/>
      <c r="H1770" s="779"/>
      <c r="I1770" s="779"/>
      <c r="J1770" s="779"/>
      <c r="K1770" s="779"/>
      <c r="L1770" s="779"/>
      <c r="M1770" s="780">
        <f>+'13.Facility 2 - Besan'!C247</f>
        <v>1800</v>
      </c>
      <c r="N1770" s="781"/>
      <c r="O1770" s="781"/>
      <c r="P1770" s="782"/>
      <c r="Q1770" s="874"/>
      <c r="R1770" s="875"/>
      <c r="S1770" s="875"/>
      <c r="T1770" s="875"/>
      <c r="U1770" s="875"/>
      <c r="V1770" s="875"/>
      <c r="W1770" s="875"/>
      <c r="X1770" s="875"/>
      <c r="Y1770" s="876"/>
    </row>
    <row r="1771" spans="3:25" hidden="1">
      <c r="C1771" s="777"/>
      <c r="D1771" s="778"/>
      <c r="E1771" s="779" t="str">
        <f>+'13.Facility 2 - Besan'!A205</f>
        <v>Tomato</v>
      </c>
      <c r="F1771" s="779"/>
      <c r="G1771" s="779"/>
      <c r="H1771" s="779"/>
      <c r="I1771" s="779"/>
      <c r="J1771" s="779"/>
      <c r="K1771" s="779"/>
      <c r="L1771" s="779"/>
      <c r="M1771" s="780">
        <f>+'13.Facility 2 - Besan'!C248</f>
        <v>800</v>
      </c>
      <c r="N1771" s="781"/>
      <c r="O1771" s="781"/>
      <c r="P1771" s="782"/>
      <c r="Q1771" s="874"/>
      <c r="R1771" s="875"/>
      <c r="S1771" s="875"/>
      <c r="T1771" s="875"/>
      <c r="U1771" s="875"/>
      <c r="V1771" s="875"/>
      <c r="W1771" s="875"/>
      <c r="X1771" s="875"/>
      <c r="Y1771" s="876"/>
    </row>
    <row r="1772" spans="3:25" hidden="1">
      <c r="C1772" s="777">
        <v>16</v>
      </c>
      <c r="D1772" s="778"/>
      <c r="E1772" s="779" t="str">
        <f>+'13.Facility 2 - Besan'!A256</f>
        <v>Pomegranate</v>
      </c>
      <c r="F1772" s="779"/>
      <c r="G1772" s="779"/>
      <c r="H1772" s="779"/>
      <c r="I1772" s="779"/>
      <c r="J1772" s="779"/>
      <c r="K1772" s="779"/>
      <c r="L1772" s="779"/>
      <c r="M1772" s="780">
        <f>+'13.Facility 2 - Besan'!C256</f>
        <v>4700</v>
      </c>
      <c r="N1772" s="781"/>
      <c r="O1772" s="781"/>
      <c r="P1772" s="782"/>
      <c r="Q1772" s="874"/>
      <c r="R1772" s="875"/>
      <c r="S1772" s="875"/>
      <c r="T1772" s="875"/>
      <c r="U1772" s="875"/>
      <c r="V1772" s="875"/>
      <c r="W1772" s="875"/>
      <c r="X1772" s="875"/>
      <c r="Y1772" s="876"/>
    </row>
    <row r="1773" spans="3:25" ht="6.75" customHeight="1">
      <c r="C1773" s="777"/>
      <c r="D1773" s="778"/>
      <c r="E1773" s="779"/>
      <c r="F1773" s="779"/>
      <c r="G1773" s="779"/>
      <c r="H1773" s="779"/>
      <c r="I1773" s="779"/>
      <c r="J1773" s="779"/>
      <c r="K1773" s="779"/>
      <c r="L1773" s="779"/>
      <c r="M1773" s="780"/>
      <c r="N1773" s="781"/>
      <c r="O1773" s="781"/>
      <c r="P1773" s="782"/>
      <c r="Q1773" s="874"/>
      <c r="R1773" s="875"/>
      <c r="S1773" s="875"/>
      <c r="T1773" s="875"/>
      <c r="U1773" s="875"/>
      <c r="V1773" s="875"/>
      <c r="W1773" s="875"/>
      <c r="X1773" s="875"/>
      <c r="Y1773" s="876"/>
    </row>
    <row r="1774" spans="3:25">
      <c r="C1774" s="777">
        <v>1</v>
      </c>
      <c r="D1774" s="778"/>
      <c r="E1774" s="779" t="str">
        <f>+'17.Facility 6 Horti Processing '!A243</f>
        <v>Exotic Vegitables</v>
      </c>
      <c r="F1774" s="779"/>
      <c r="G1774" s="779"/>
      <c r="H1774" s="779"/>
      <c r="I1774" s="779"/>
      <c r="J1774" s="779"/>
      <c r="K1774" s="779"/>
      <c r="L1774" s="779"/>
      <c r="M1774" s="780">
        <f>+'17.Facility 6 Horti Processing '!C243</f>
        <v>2000</v>
      </c>
      <c r="N1774" s="781"/>
      <c r="O1774" s="781"/>
      <c r="P1774" s="782"/>
      <c r="Q1774" s="783" t="s">
        <v>1743</v>
      </c>
      <c r="R1774" s="784"/>
      <c r="S1774" s="784"/>
      <c r="T1774" s="784"/>
      <c r="U1774" s="784"/>
      <c r="V1774" s="784"/>
      <c r="W1774" s="784"/>
      <c r="X1774" s="784"/>
      <c r="Y1774" s="785"/>
    </row>
    <row r="1775" spans="3:25">
      <c r="C1775" s="777">
        <v>2</v>
      </c>
      <c r="D1775" s="778"/>
      <c r="E1775" s="779" t="str">
        <f>+'17.Facility 6 Horti Processing '!A244</f>
        <v>Tomato</v>
      </c>
      <c r="F1775" s="779"/>
      <c r="G1775" s="779"/>
      <c r="H1775" s="779"/>
      <c r="I1775" s="779"/>
      <c r="J1775" s="779"/>
      <c r="K1775" s="779"/>
      <c r="L1775" s="779"/>
      <c r="M1775" s="780">
        <f>+'17.Facility 6 Horti Processing '!C244</f>
        <v>5000</v>
      </c>
      <c r="N1775" s="781"/>
      <c r="O1775" s="781"/>
      <c r="P1775" s="782"/>
      <c r="Q1775" s="783" t="s">
        <v>1743</v>
      </c>
      <c r="R1775" s="784"/>
      <c r="S1775" s="784"/>
      <c r="T1775" s="784"/>
      <c r="U1775" s="784"/>
      <c r="V1775" s="784"/>
      <c r="W1775" s="784"/>
      <c r="X1775" s="784"/>
      <c r="Y1775" s="785"/>
    </row>
    <row r="1776" spans="3:25">
      <c r="C1776" s="777">
        <v>3</v>
      </c>
      <c r="D1776" s="778"/>
      <c r="E1776" s="779" t="str">
        <f>+'17.Facility 6 Horti Processing '!A245</f>
        <v>Okra</v>
      </c>
      <c r="F1776" s="779"/>
      <c r="G1776" s="779"/>
      <c r="H1776" s="779"/>
      <c r="I1776" s="779"/>
      <c r="J1776" s="779"/>
      <c r="K1776" s="779"/>
      <c r="L1776" s="779"/>
      <c r="M1776" s="780">
        <f>+'17.Facility 6 Horti Processing '!C245</f>
        <v>3000</v>
      </c>
      <c r="N1776" s="781"/>
      <c r="O1776" s="781"/>
      <c r="P1776" s="782"/>
      <c r="Q1776" s="783" t="s">
        <v>1743</v>
      </c>
      <c r="R1776" s="784"/>
      <c r="S1776" s="784"/>
      <c r="T1776" s="784"/>
      <c r="U1776" s="784"/>
      <c r="V1776" s="784"/>
      <c r="W1776" s="784"/>
      <c r="X1776" s="784"/>
      <c r="Y1776" s="785"/>
    </row>
    <row r="1777" spans="3:25">
      <c r="C1777" s="777">
        <v>4</v>
      </c>
      <c r="D1777" s="778"/>
      <c r="E1777" s="779" t="str">
        <f>+'17.Facility 6 Horti Processing '!A246</f>
        <v>Chilli</v>
      </c>
      <c r="F1777" s="779"/>
      <c r="G1777" s="779"/>
      <c r="H1777" s="779"/>
      <c r="I1777" s="779"/>
      <c r="J1777" s="779"/>
      <c r="K1777" s="779"/>
      <c r="L1777" s="779"/>
      <c r="M1777" s="780">
        <f>+'17.Facility 6 Horti Processing '!C246</f>
        <v>4000</v>
      </c>
      <c r="N1777" s="781"/>
      <c r="O1777" s="781"/>
      <c r="P1777" s="782"/>
      <c r="Q1777" s="783" t="s">
        <v>1743</v>
      </c>
      <c r="R1777" s="784"/>
      <c r="S1777" s="784"/>
      <c r="T1777" s="784"/>
      <c r="U1777" s="784"/>
      <c r="V1777" s="784"/>
      <c r="W1777" s="784"/>
      <c r="X1777" s="784"/>
      <c r="Y1777" s="785"/>
    </row>
    <row r="1778" spans="3:25">
      <c r="C1778" s="777">
        <v>5</v>
      </c>
      <c r="D1778" s="778"/>
      <c r="E1778" s="779" t="str">
        <f>+'17.Facility 6 Horti Processing '!A247</f>
        <v>Potato</v>
      </c>
      <c r="F1778" s="779"/>
      <c r="G1778" s="779"/>
      <c r="H1778" s="779"/>
      <c r="I1778" s="779"/>
      <c r="J1778" s="779"/>
      <c r="K1778" s="779"/>
      <c r="L1778" s="779"/>
      <c r="M1778" s="780">
        <f>+'17.Facility 6 Horti Processing '!C247</f>
        <v>2000</v>
      </c>
      <c r="N1778" s="781"/>
      <c r="O1778" s="781"/>
      <c r="P1778" s="782"/>
      <c r="Q1778" s="783" t="s">
        <v>1743</v>
      </c>
      <c r="R1778" s="784"/>
      <c r="S1778" s="784"/>
      <c r="T1778" s="784"/>
      <c r="U1778" s="784"/>
      <c r="V1778" s="784"/>
      <c r="W1778" s="784"/>
      <c r="X1778" s="784"/>
      <c r="Y1778" s="785"/>
    </row>
    <row r="1779" spans="3:25">
      <c r="C1779" s="777">
        <v>6</v>
      </c>
      <c r="D1779" s="778"/>
      <c r="E1779" s="779" t="str">
        <f>+'17.Facility 6 Horti Processing '!A248</f>
        <v>Cabbage</v>
      </c>
      <c r="F1779" s="779"/>
      <c r="G1779" s="779"/>
      <c r="H1779" s="779"/>
      <c r="I1779" s="779"/>
      <c r="J1779" s="779"/>
      <c r="K1779" s="779"/>
      <c r="L1779" s="779"/>
      <c r="M1779" s="780">
        <f>+'17.Facility 6 Horti Processing '!C248</f>
        <v>3500</v>
      </c>
      <c r="N1779" s="781"/>
      <c r="O1779" s="781"/>
      <c r="P1779" s="782"/>
      <c r="Q1779" s="783" t="s">
        <v>1743</v>
      </c>
      <c r="R1779" s="784"/>
      <c r="S1779" s="784"/>
      <c r="T1779" s="784"/>
      <c r="U1779" s="784"/>
      <c r="V1779" s="784"/>
      <c r="W1779" s="784"/>
      <c r="X1779" s="784"/>
      <c r="Y1779" s="785"/>
    </row>
    <row r="1780" spans="3:25">
      <c r="C1780" s="777">
        <v>7</v>
      </c>
      <c r="D1780" s="778"/>
      <c r="E1780" s="779" t="str">
        <f>+'17.Facility 6 Horti Processing '!A249</f>
        <v>Coliflower</v>
      </c>
      <c r="F1780" s="779"/>
      <c r="G1780" s="779"/>
      <c r="H1780" s="779"/>
      <c r="I1780" s="779"/>
      <c r="J1780" s="779"/>
      <c r="K1780" s="779"/>
      <c r="L1780" s="779"/>
      <c r="M1780" s="780">
        <f>+'17.Facility 6 Horti Processing '!C249</f>
        <v>3000</v>
      </c>
      <c r="N1780" s="781"/>
      <c r="O1780" s="781"/>
      <c r="P1780" s="782"/>
      <c r="Q1780" s="783" t="s">
        <v>1743</v>
      </c>
      <c r="R1780" s="784"/>
      <c r="S1780" s="784"/>
      <c r="T1780" s="784"/>
      <c r="U1780" s="784"/>
      <c r="V1780" s="784"/>
      <c r="W1780" s="784"/>
      <c r="X1780" s="784"/>
      <c r="Y1780" s="785"/>
    </row>
    <row r="1781" spans="3:25">
      <c r="C1781" s="777">
        <v>8</v>
      </c>
      <c r="D1781" s="778"/>
      <c r="E1781" s="779" t="str">
        <f>+'17.Facility 6 Horti Processing '!A250</f>
        <v>Bitter Gurd</v>
      </c>
      <c r="F1781" s="779"/>
      <c r="G1781" s="779"/>
      <c r="H1781" s="779"/>
      <c r="I1781" s="779"/>
      <c r="J1781" s="779"/>
      <c r="K1781" s="779"/>
      <c r="L1781" s="779"/>
      <c r="M1781" s="780">
        <f>+'17.Facility 6 Horti Processing '!C250</f>
        <v>2000</v>
      </c>
      <c r="N1781" s="781"/>
      <c r="O1781" s="781"/>
      <c r="P1781" s="782"/>
      <c r="Q1781" s="783" t="s">
        <v>1743</v>
      </c>
      <c r="R1781" s="784"/>
      <c r="S1781" s="784"/>
      <c r="T1781" s="784"/>
      <c r="U1781" s="784"/>
      <c r="V1781" s="784"/>
      <c r="W1781" s="784"/>
      <c r="X1781" s="784"/>
      <c r="Y1781" s="785"/>
    </row>
    <row r="1782" spans="3:25" ht="15" hidden="1" customHeight="1">
      <c r="C1782" s="777"/>
      <c r="D1782" s="778"/>
      <c r="E1782" s="779">
        <f>+'17.Facility 6 Horti Processing '!A251</f>
        <v>0</v>
      </c>
      <c r="F1782" s="779"/>
      <c r="G1782" s="779"/>
      <c r="H1782" s="779"/>
      <c r="I1782" s="779"/>
      <c r="J1782" s="779"/>
      <c r="K1782" s="779"/>
      <c r="L1782" s="779"/>
      <c r="M1782" s="780">
        <f>+'17.Facility 6 Horti Processing '!C251</f>
        <v>0</v>
      </c>
      <c r="N1782" s="781"/>
      <c r="O1782" s="781"/>
      <c r="P1782" s="782"/>
      <c r="Q1782" s="783" t="s">
        <v>1743</v>
      </c>
      <c r="R1782" s="784"/>
      <c r="S1782" s="784"/>
      <c r="T1782" s="784"/>
      <c r="U1782" s="784"/>
      <c r="V1782" s="784"/>
      <c r="W1782" s="784"/>
      <c r="X1782" s="784"/>
      <c r="Y1782" s="785"/>
    </row>
    <row r="1783" spans="3:25">
      <c r="C1783" s="777">
        <v>9</v>
      </c>
      <c r="D1783" s="778"/>
      <c r="E1783" s="779" t="str">
        <f>+'17.Facility 6 Horti Processing '!A252</f>
        <v>Exotic Vegitables</v>
      </c>
      <c r="F1783" s="779"/>
      <c r="G1783" s="779"/>
      <c r="H1783" s="779"/>
      <c r="I1783" s="779"/>
      <c r="J1783" s="779"/>
      <c r="K1783" s="779"/>
      <c r="L1783" s="779"/>
      <c r="M1783" s="780">
        <f>+'17.Facility 6 Horti Processing '!C252</f>
        <v>1500</v>
      </c>
      <c r="N1783" s="781"/>
      <c r="O1783" s="781"/>
      <c r="P1783" s="782"/>
      <c r="Q1783" s="783" t="s">
        <v>1743</v>
      </c>
      <c r="R1783" s="784"/>
      <c r="S1783" s="784"/>
      <c r="T1783" s="784"/>
      <c r="U1783" s="784"/>
      <c r="V1783" s="784"/>
      <c r="W1783" s="784"/>
      <c r="X1783" s="784"/>
      <c r="Y1783" s="785"/>
    </row>
    <row r="1784" spans="3:25">
      <c r="C1784" s="777">
        <v>10</v>
      </c>
      <c r="D1784" s="778"/>
      <c r="E1784" s="779" t="str">
        <f>+'17.Facility 6 Horti Processing '!A253</f>
        <v>Tomato</v>
      </c>
      <c r="F1784" s="779"/>
      <c r="G1784" s="779"/>
      <c r="H1784" s="779"/>
      <c r="I1784" s="779"/>
      <c r="J1784" s="779"/>
      <c r="K1784" s="779"/>
      <c r="L1784" s="779"/>
      <c r="M1784" s="780">
        <f>+'17.Facility 6 Horti Processing '!C253</f>
        <v>2500</v>
      </c>
      <c r="N1784" s="781"/>
      <c r="O1784" s="781"/>
      <c r="P1784" s="782"/>
      <c r="Q1784" s="783" t="s">
        <v>1743</v>
      </c>
      <c r="R1784" s="784"/>
      <c r="S1784" s="784"/>
      <c r="T1784" s="784"/>
      <c r="U1784" s="784"/>
      <c r="V1784" s="784"/>
      <c r="W1784" s="784"/>
      <c r="X1784" s="784"/>
      <c r="Y1784" s="785"/>
    </row>
    <row r="1785" spans="3:25">
      <c r="C1785" s="777">
        <v>11</v>
      </c>
      <c r="D1785" s="778"/>
      <c r="E1785" s="779" t="str">
        <f>+'17.Facility 6 Horti Processing '!A254</f>
        <v>Okra</v>
      </c>
      <c r="F1785" s="779"/>
      <c r="G1785" s="779"/>
      <c r="H1785" s="779"/>
      <c r="I1785" s="779"/>
      <c r="J1785" s="779"/>
      <c r="K1785" s="779"/>
      <c r="L1785" s="779"/>
      <c r="M1785" s="780">
        <f>+'17.Facility 6 Horti Processing '!C254</f>
        <v>2500</v>
      </c>
      <c r="N1785" s="781"/>
      <c r="O1785" s="781"/>
      <c r="P1785" s="782"/>
      <c r="Q1785" s="783" t="s">
        <v>1743</v>
      </c>
      <c r="R1785" s="784"/>
      <c r="S1785" s="784"/>
      <c r="T1785" s="784"/>
      <c r="U1785" s="784"/>
      <c r="V1785" s="784"/>
      <c r="W1785" s="784"/>
      <c r="X1785" s="784"/>
      <c r="Y1785" s="785"/>
    </row>
    <row r="1786" spans="3:25">
      <c r="C1786" s="777">
        <v>12</v>
      </c>
      <c r="D1786" s="778"/>
      <c r="E1786" s="779" t="str">
        <f>+'17.Facility 6 Horti Processing '!A255</f>
        <v>Chilli</v>
      </c>
      <c r="F1786" s="779"/>
      <c r="G1786" s="779"/>
      <c r="H1786" s="779"/>
      <c r="I1786" s="779"/>
      <c r="J1786" s="779"/>
      <c r="K1786" s="779"/>
      <c r="L1786" s="779"/>
      <c r="M1786" s="780">
        <f>+'17.Facility 6 Horti Processing '!C255</f>
        <v>4000</v>
      </c>
      <c r="N1786" s="781"/>
      <c r="O1786" s="781"/>
      <c r="P1786" s="782"/>
      <c r="Q1786" s="783" t="s">
        <v>1743</v>
      </c>
      <c r="R1786" s="784"/>
      <c r="S1786" s="784"/>
      <c r="T1786" s="784"/>
      <c r="U1786" s="784"/>
      <c r="V1786" s="784"/>
      <c r="W1786" s="784"/>
      <c r="X1786" s="784"/>
      <c r="Y1786" s="785"/>
    </row>
    <row r="1787" spans="3:25">
      <c r="C1787" s="777">
        <v>13</v>
      </c>
      <c r="D1787" s="778"/>
      <c r="E1787" s="779" t="str">
        <f>+'17.Facility 6 Horti Processing '!A256</f>
        <v>Brinjal</v>
      </c>
      <c r="F1787" s="779"/>
      <c r="G1787" s="779"/>
      <c r="H1787" s="779"/>
      <c r="I1787" s="779"/>
      <c r="J1787" s="779"/>
      <c r="K1787" s="779"/>
      <c r="L1787" s="779"/>
      <c r="M1787" s="780">
        <f>+'17.Facility 6 Horti Processing '!C256</f>
        <v>3000</v>
      </c>
      <c r="N1787" s="781"/>
      <c r="O1787" s="781"/>
      <c r="P1787" s="782"/>
      <c r="Q1787" s="783" t="s">
        <v>1743</v>
      </c>
      <c r="R1787" s="784"/>
      <c r="S1787" s="784"/>
      <c r="T1787" s="784"/>
      <c r="U1787" s="784"/>
      <c r="V1787" s="784"/>
      <c r="W1787" s="784"/>
      <c r="X1787" s="784"/>
      <c r="Y1787" s="785"/>
    </row>
    <row r="1788" spans="3:25">
      <c r="C1788" s="777">
        <v>14</v>
      </c>
      <c r="D1788" s="778"/>
      <c r="E1788" s="779" t="str">
        <f>+'17.Facility 6 Horti Processing '!A257</f>
        <v>Ginger</v>
      </c>
      <c r="F1788" s="779"/>
      <c r="G1788" s="779"/>
      <c r="H1788" s="779"/>
      <c r="I1788" s="779"/>
      <c r="J1788" s="779"/>
      <c r="K1788" s="779"/>
      <c r="L1788" s="779"/>
      <c r="M1788" s="780">
        <f>+'17.Facility 6 Horti Processing '!C257</f>
        <v>3000</v>
      </c>
      <c r="N1788" s="781"/>
      <c r="O1788" s="781"/>
      <c r="P1788" s="782"/>
      <c r="Q1788" s="783" t="s">
        <v>1743</v>
      </c>
      <c r="R1788" s="784"/>
      <c r="S1788" s="784"/>
      <c r="T1788" s="784"/>
      <c r="U1788" s="784"/>
      <c r="V1788" s="784"/>
      <c r="W1788" s="784"/>
      <c r="X1788" s="784"/>
      <c r="Y1788" s="785"/>
    </row>
    <row r="1789" spans="3:25" ht="15" hidden="1" customHeight="1">
      <c r="C1789" s="777"/>
      <c r="D1789" s="778"/>
      <c r="E1789" s="779">
        <f>+'17.Facility 6 Horti Processing '!A258</f>
        <v>0</v>
      </c>
      <c r="F1789" s="779"/>
      <c r="G1789" s="779"/>
      <c r="H1789" s="779"/>
      <c r="I1789" s="779"/>
      <c r="J1789" s="779"/>
      <c r="K1789" s="779"/>
      <c r="L1789" s="779"/>
      <c r="M1789" s="780">
        <f>+'17.Facility 6 Horti Processing '!C258</f>
        <v>0</v>
      </c>
      <c r="N1789" s="781"/>
      <c r="O1789" s="781"/>
      <c r="P1789" s="782"/>
      <c r="Q1789" s="783" t="s">
        <v>1743</v>
      </c>
      <c r="R1789" s="784"/>
      <c r="S1789" s="784"/>
      <c r="T1789" s="784"/>
      <c r="U1789" s="784"/>
      <c r="V1789" s="784"/>
      <c r="W1789" s="784"/>
      <c r="X1789" s="784"/>
      <c r="Y1789" s="785"/>
    </row>
    <row r="1790" spans="3:25" ht="15" hidden="1" customHeight="1">
      <c r="C1790" s="777"/>
      <c r="D1790" s="778"/>
      <c r="E1790" s="779">
        <f>+'17.Facility 6 Horti Processing '!A259</f>
        <v>0</v>
      </c>
      <c r="F1790" s="779"/>
      <c r="G1790" s="779"/>
      <c r="H1790" s="779"/>
      <c r="I1790" s="779"/>
      <c r="J1790" s="779"/>
      <c r="K1790" s="779"/>
      <c r="L1790" s="779"/>
      <c r="M1790" s="780">
        <f>+'17.Facility 6 Horti Processing '!C259</f>
        <v>0</v>
      </c>
      <c r="N1790" s="781"/>
      <c r="O1790" s="781"/>
      <c r="P1790" s="782"/>
      <c r="Q1790" s="783" t="s">
        <v>1743</v>
      </c>
      <c r="R1790" s="784"/>
      <c r="S1790" s="784"/>
      <c r="T1790" s="784"/>
      <c r="U1790" s="784"/>
      <c r="V1790" s="784"/>
      <c r="W1790" s="784"/>
      <c r="X1790" s="784"/>
      <c r="Y1790" s="785"/>
    </row>
    <row r="1791" spans="3:25">
      <c r="C1791" s="777">
        <v>15</v>
      </c>
      <c r="D1791" s="778"/>
      <c r="E1791" s="779" t="str">
        <f>+'17.Facility 6 Horti Processing '!A260</f>
        <v>Spinach</v>
      </c>
      <c r="F1791" s="779"/>
      <c r="G1791" s="779"/>
      <c r="H1791" s="779"/>
      <c r="I1791" s="779"/>
      <c r="J1791" s="779"/>
      <c r="K1791" s="779"/>
      <c r="L1791" s="779"/>
      <c r="M1791" s="780">
        <f>+'17.Facility 6 Horti Processing '!C260</f>
        <v>1500</v>
      </c>
      <c r="N1791" s="781"/>
      <c r="O1791" s="781"/>
      <c r="P1791" s="782"/>
      <c r="Q1791" s="783" t="s">
        <v>1743</v>
      </c>
      <c r="R1791" s="784"/>
      <c r="S1791" s="784"/>
      <c r="T1791" s="784"/>
      <c r="U1791" s="784"/>
      <c r="V1791" s="784"/>
      <c r="W1791" s="784"/>
      <c r="X1791" s="784"/>
      <c r="Y1791" s="785"/>
    </row>
    <row r="1792" spans="3:25">
      <c r="C1792" s="777">
        <v>16</v>
      </c>
      <c r="D1792" s="778"/>
      <c r="E1792" s="779" t="str">
        <f>+'17.Facility 6 Horti Processing '!A261</f>
        <v>Fenugreek</v>
      </c>
      <c r="F1792" s="779"/>
      <c r="G1792" s="779"/>
      <c r="H1792" s="779"/>
      <c r="I1792" s="779"/>
      <c r="J1792" s="779"/>
      <c r="K1792" s="779"/>
      <c r="L1792" s="779"/>
      <c r="M1792" s="780">
        <f>+'17.Facility 6 Horti Processing '!C261</f>
        <v>1000</v>
      </c>
      <c r="N1792" s="781"/>
      <c r="O1792" s="781"/>
      <c r="P1792" s="782"/>
      <c r="Q1792" s="783" t="s">
        <v>1743</v>
      </c>
      <c r="R1792" s="784"/>
      <c r="S1792" s="784"/>
      <c r="T1792" s="784"/>
      <c r="U1792" s="784"/>
      <c r="V1792" s="784"/>
      <c r="W1792" s="784"/>
      <c r="X1792" s="784"/>
      <c r="Y1792" s="785"/>
    </row>
    <row r="1793" spans="3:25">
      <c r="C1793" s="777">
        <v>17</v>
      </c>
      <c r="D1793" s="778"/>
      <c r="E1793" s="779" t="str">
        <f>+'17.Facility 6 Horti Processing '!A262</f>
        <v>coriander</v>
      </c>
      <c r="F1793" s="779"/>
      <c r="G1793" s="779"/>
      <c r="H1793" s="779"/>
      <c r="I1793" s="779"/>
      <c r="J1793" s="779"/>
      <c r="K1793" s="779"/>
      <c r="L1793" s="779"/>
      <c r="M1793" s="780">
        <f>+'17.Facility 6 Horti Processing '!C262</f>
        <v>2500</v>
      </c>
      <c r="N1793" s="781"/>
      <c r="O1793" s="781"/>
      <c r="P1793" s="782"/>
      <c r="Q1793" s="783" t="s">
        <v>1743</v>
      </c>
      <c r="R1793" s="784"/>
      <c r="S1793" s="784"/>
      <c r="T1793" s="784"/>
      <c r="U1793" s="784"/>
      <c r="V1793" s="784"/>
      <c r="W1793" s="784"/>
      <c r="X1793" s="784"/>
      <c r="Y1793" s="785"/>
    </row>
    <row r="1794" spans="3:25">
      <c r="C1794" s="777">
        <v>18</v>
      </c>
      <c r="D1794" s="778"/>
      <c r="E1794" s="779" t="str">
        <f>+'17.Facility 6 Horti Processing '!A263</f>
        <v>Shepu</v>
      </c>
      <c r="F1794" s="779"/>
      <c r="G1794" s="779"/>
      <c r="H1794" s="779"/>
      <c r="I1794" s="779"/>
      <c r="J1794" s="779"/>
      <c r="K1794" s="779"/>
      <c r="L1794" s="779"/>
      <c r="M1794" s="780">
        <f>+'17.Facility 6 Horti Processing '!C263</f>
        <v>1200</v>
      </c>
      <c r="N1794" s="781"/>
      <c r="O1794" s="781"/>
      <c r="P1794" s="782"/>
      <c r="Q1794" s="783" t="s">
        <v>1743</v>
      </c>
      <c r="R1794" s="784"/>
      <c r="S1794" s="784"/>
      <c r="T1794" s="784"/>
      <c r="U1794" s="784"/>
      <c r="V1794" s="784"/>
      <c r="W1794" s="784"/>
      <c r="X1794" s="784"/>
      <c r="Y1794" s="785"/>
    </row>
    <row r="1795" spans="3:25" ht="15" hidden="1" customHeight="1">
      <c r="C1795" s="777"/>
      <c r="D1795" s="778"/>
      <c r="E1795" s="779">
        <f>+'17.Facility 6 Horti Processing '!A264</f>
        <v>0</v>
      </c>
      <c r="F1795" s="779"/>
      <c r="G1795" s="779"/>
      <c r="H1795" s="779"/>
      <c r="I1795" s="779"/>
      <c r="J1795" s="779"/>
      <c r="K1795" s="779"/>
      <c r="L1795" s="779"/>
      <c r="M1795" s="780">
        <f>+'17.Facility 6 Horti Processing '!C264</f>
        <v>0</v>
      </c>
      <c r="N1795" s="781"/>
      <c r="O1795" s="781"/>
      <c r="P1795" s="782"/>
      <c r="Q1795" s="783" t="s">
        <v>1743</v>
      </c>
      <c r="R1795" s="784"/>
      <c r="S1795" s="784"/>
      <c r="T1795" s="784"/>
      <c r="U1795" s="784"/>
      <c r="V1795" s="784"/>
      <c r="W1795" s="784"/>
      <c r="X1795" s="784"/>
      <c r="Y1795" s="785"/>
    </row>
    <row r="1796" spans="3:25">
      <c r="C1796" s="777">
        <v>19</v>
      </c>
      <c r="D1796" s="778"/>
      <c r="E1796" s="779" t="str">
        <f>+'17.Facility 6 Horti Processing '!A265</f>
        <v>Pomegranate</v>
      </c>
      <c r="F1796" s="779"/>
      <c r="G1796" s="779"/>
      <c r="H1796" s="779"/>
      <c r="I1796" s="779"/>
      <c r="J1796" s="779"/>
      <c r="K1796" s="779"/>
      <c r="L1796" s="779"/>
      <c r="M1796" s="780">
        <f>+'17.Facility 6 Horti Processing '!C265</f>
        <v>5000</v>
      </c>
      <c r="N1796" s="781"/>
      <c r="O1796" s="781"/>
      <c r="P1796" s="782"/>
      <c r="Q1796" s="783" t="s">
        <v>1743</v>
      </c>
      <c r="R1796" s="784"/>
      <c r="S1796" s="784"/>
      <c r="T1796" s="784"/>
      <c r="U1796" s="784"/>
      <c r="V1796" s="784"/>
      <c r="W1796" s="784"/>
      <c r="X1796" s="784"/>
      <c r="Y1796" s="785"/>
    </row>
    <row r="1797" spans="3:25">
      <c r="C1797" s="777">
        <v>20</v>
      </c>
      <c r="D1797" s="778"/>
      <c r="E1797" s="779" t="str">
        <f>+'17.Facility 6 Horti Processing '!A266</f>
        <v>Banana</v>
      </c>
      <c r="F1797" s="779"/>
      <c r="G1797" s="779"/>
      <c r="H1797" s="779"/>
      <c r="I1797" s="779"/>
      <c r="J1797" s="779"/>
      <c r="K1797" s="779"/>
      <c r="L1797" s="779"/>
      <c r="M1797" s="780">
        <f>+'17.Facility 6 Horti Processing '!C266</f>
        <v>5000</v>
      </c>
      <c r="N1797" s="781"/>
      <c r="O1797" s="781"/>
      <c r="P1797" s="782"/>
      <c r="Q1797" s="783" t="s">
        <v>1743</v>
      </c>
      <c r="R1797" s="784"/>
      <c r="S1797" s="784"/>
      <c r="T1797" s="784"/>
      <c r="U1797" s="784"/>
      <c r="V1797" s="784"/>
      <c r="W1797" s="784"/>
      <c r="X1797" s="784"/>
      <c r="Y1797" s="785"/>
    </row>
    <row r="1798" spans="3:25">
      <c r="C1798" s="777">
        <v>21</v>
      </c>
      <c r="D1798" s="778"/>
      <c r="E1798" s="779" t="str">
        <f>+'17.Facility 6 Horti Processing '!A267</f>
        <v>Graps</v>
      </c>
      <c r="F1798" s="779"/>
      <c r="G1798" s="779"/>
      <c r="H1798" s="779"/>
      <c r="I1798" s="779"/>
      <c r="J1798" s="779"/>
      <c r="K1798" s="779"/>
      <c r="L1798" s="779"/>
      <c r="M1798" s="780">
        <f>+'17.Facility 6 Horti Processing '!C267</f>
        <v>5000</v>
      </c>
      <c r="N1798" s="781"/>
      <c r="O1798" s="781"/>
      <c r="P1798" s="782"/>
      <c r="Q1798" s="783" t="s">
        <v>1743</v>
      </c>
      <c r="R1798" s="784"/>
      <c r="S1798" s="784"/>
      <c r="T1798" s="784"/>
      <c r="U1798" s="784"/>
      <c r="V1798" s="784"/>
      <c r="W1798" s="784"/>
      <c r="X1798" s="784"/>
      <c r="Y1798" s="785"/>
    </row>
    <row r="1799" spans="3:25">
      <c r="C1799" s="777">
        <v>22</v>
      </c>
      <c r="D1799" s="778"/>
      <c r="E1799" s="779" t="str">
        <f>+'17.Facility 6 Horti Processing '!A269</f>
        <v>Citrus</v>
      </c>
      <c r="F1799" s="779"/>
      <c r="G1799" s="779"/>
      <c r="H1799" s="779"/>
      <c r="I1799" s="779"/>
      <c r="J1799" s="779"/>
      <c r="K1799" s="779"/>
      <c r="L1799" s="779"/>
      <c r="M1799" s="780">
        <f>+'17.Facility 6 Horti Processing '!C269</f>
        <v>5000</v>
      </c>
      <c r="N1799" s="781"/>
      <c r="O1799" s="781"/>
      <c r="P1799" s="782"/>
      <c r="Q1799" s="783" t="s">
        <v>1743</v>
      </c>
      <c r="R1799" s="784"/>
      <c r="S1799" s="784"/>
      <c r="T1799" s="784"/>
      <c r="U1799" s="784"/>
      <c r="V1799" s="784"/>
      <c r="W1799" s="784"/>
      <c r="X1799" s="784"/>
      <c r="Y1799" s="785"/>
    </row>
    <row r="1800" spans="3:25">
      <c r="C1800" s="5" t="s">
        <v>1337</v>
      </c>
    </row>
    <row r="1802" spans="3:25" ht="30" customHeight="1">
      <c r="C1802" s="867" t="s">
        <v>952</v>
      </c>
      <c r="D1802" s="867"/>
      <c r="E1802" s="869" t="s">
        <v>1340</v>
      </c>
      <c r="F1802" s="869"/>
      <c r="G1802" s="869"/>
      <c r="H1802" s="869"/>
      <c r="I1802" s="869"/>
      <c r="J1802" s="870"/>
      <c r="K1802" s="868" t="s">
        <v>1339</v>
      </c>
      <c r="L1802" s="869"/>
      <c r="M1802" s="869"/>
      <c r="N1802" s="845" t="s">
        <v>1338</v>
      </c>
      <c r="O1802" s="845"/>
      <c r="P1802" s="845"/>
      <c r="Q1802" s="871" t="s">
        <v>1112</v>
      </c>
      <c r="R1802" s="872"/>
      <c r="S1802" s="872"/>
      <c r="T1802" s="872"/>
      <c r="U1802" s="872"/>
      <c r="V1802" s="872"/>
      <c r="W1802" s="872"/>
      <c r="X1802" s="872"/>
      <c r="Y1802" s="873"/>
    </row>
    <row r="1803" spans="3:25">
      <c r="C1803" s="778">
        <v>1</v>
      </c>
      <c r="D1803" s="778"/>
      <c r="E1803" s="878" t="s">
        <v>1491</v>
      </c>
      <c r="F1803" s="878"/>
      <c r="G1803" s="878"/>
      <c r="H1803" s="878"/>
      <c r="I1803" s="878"/>
      <c r="J1803" s="879"/>
      <c r="K1803" s="780" t="e">
        <f>+#REF!</f>
        <v>#REF!</v>
      </c>
      <c r="L1803" s="781"/>
      <c r="M1803" s="781"/>
      <c r="N1803" s="778" t="e">
        <f>+#REF!</f>
        <v>#REF!</v>
      </c>
      <c r="O1803" s="778"/>
      <c r="P1803" s="778"/>
      <c r="Q1803" s="874"/>
      <c r="R1803" s="875"/>
      <c r="S1803" s="875"/>
      <c r="T1803" s="875"/>
      <c r="U1803" s="875"/>
      <c r="V1803" s="875"/>
      <c r="W1803" s="875"/>
      <c r="X1803" s="875"/>
      <c r="Y1803" s="876"/>
    </row>
    <row r="1804" spans="3:25">
      <c r="C1804" s="778">
        <v>2</v>
      </c>
      <c r="D1804" s="778"/>
      <c r="E1804" s="878" t="s">
        <v>1492</v>
      </c>
      <c r="F1804" s="878"/>
      <c r="G1804" s="878"/>
      <c r="H1804" s="878"/>
      <c r="I1804" s="878"/>
      <c r="J1804" s="879"/>
      <c r="K1804" s="780" t="e">
        <f>+#REF!</f>
        <v>#REF!</v>
      </c>
      <c r="L1804" s="781"/>
      <c r="M1804" s="781"/>
      <c r="N1804" s="778" t="e">
        <f>+#REF!</f>
        <v>#REF!</v>
      </c>
      <c r="O1804" s="778"/>
      <c r="P1804" s="778"/>
      <c r="Q1804" s="874"/>
      <c r="R1804" s="875"/>
      <c r="S1804" s="875"/>
      <c r="T1804" s="875"/>
      <c r="U1804" s="875"/>
      <c r="V1804" s="875"/>
      <c r="W1804" s="875"/>
      <c r="X1804" s="875"/>
      <c r="Y1804" s="876"/>
    </row>
    <row r="1805" spans="3:25">
      <c r="C1805" s="778">
        <v>3</v>
      </c>
      <c r="D1805" s="778"/>
      <c r="E1805" s="878" t="s">
        <v>1493</v>
      </c>
      <c r="F1805" s="878"/>
      <c r="G1805" s="878"/>
      <c r="H1805" s="878"/>
      <c r="I1805" s="878"/>
      <c r="J1805" s="879"/>
      <c r="K1805" s="780" t="e">
        <f>+'13.Facility 2 - Besan'!#REF!</f>
        <v>#REF!</v>
      </c>
      <c r="L1805" s="781"/>
      <c r="M1805" s="781"/>
      <c r="N1805" s="778" t="e">
        <f>+'13.Facility 2 - Besan'!#REF!</f>
        <v>#REF!</v>
      </c>
      <c r="O1805" s="778"/>
      <c r="P1805" s="778"/>
      <c r="Q1805" s="874"/>
      <c r="R1805" s="875"/>
      <c r="S1805" s="875"/>
      <c r="T1805" s="875"/>
      <c r="U1805" s="875"/>
      <c r="V1805" s="875"/>
      <c r="W1805" s="875"/>
      <c r="X1805" s="875"/>
      <c r="Y1805" s="876"/>
    </row>
    <row r="1806" spans="3:25">
      <c r="C1806" s="778">
        <v>4</v>
      </c>
      <c r="D1806" s="778"/>
      <c r="E1806" s="878" t="s">
        <v>1494</v>
      </c>
      <c r="F1806" s="878"/>
      <c r="G1806" s="878"/>
      <c r="H1806" s="878"/>
      <c r="I1806" s="878"/>
      <c r="J1806" s="879"/>
      <c r="K1806" s="780" t="e">
        <f>+'12.Facility 1 Dal Mill'!#REF!</f>
        <v>#REF!</v>
      </c>
      <c r="L1806" s="781"/>
      <c r="M1806" s="781"/>
      <c r="N1806" s="778" t="e">
        <f>+'12.Facility 1 Dal Mill'!#REF!</f>
        <v>#REF!</v>
      </c>
      <c r="O1806" s="778"/>
      <c r="P1806" s="778"/>
      <c r="Q1806" s="874"/>
      <c r="R1806" s="875"/>
      <c r="S1806" s="875"/>
      <c r="T1806" s="875"/>
      <c r="U1806" s="875"/>
      <c r="V1806" s="875"/>
      <c r="W1806" s="875"/>
      <c r="X1806" s="875"/>
      <c r="Y1806" s="876"/>
    </row>
    <row r="1807" spans="3:25">
      <c r="C1807" s="778">
        <v>5</v>
      </c>
      <c r="D1807" s="778"/>
      <c r="E1807" s="878" t="s">
        <v>1497</v>
      </c>
      <c r="F1807" s="878"/>
      <c r="G1807" s="878"/>
      <c r="H1807" s="878"/>
      <c r="I1807" s="878"/>
      <c r="J1807" s="879"/>
      <c r="K1807" s="780">
        <f>+'14. Facility 3 Warehouse'!B37</f>
        <v>1</v>
      </c>
      <c r="L1807" s="781"/>
      <c r="M1807" s="781"/>
      <c r="N1807" s="778">
        <f>+'14. Facility 3 Warehouse'!C37</f>
        <v>10000</v>
      </c>
      <c r="O1807" s="778"/>
      <c r="P1807" s="778"/>
      <c r="Q1807" s="874"/>
      <c r="R1807" s="875"/>
      <c r="S1807" s="875"/>
      <c r="T1807" s="875"/>
      <c r="U1807" s="875"/>
      <c r="V1807" s="875"/>
      <c r="W1807" s="875"/>
      <c r="X1807" s="875"/>
      <c r="Y1807" s="876"/>
    </row>
    <row r="1808" spans="3:25">
      <c r="C1808" s="778">
        <v>6</v>
      </c>
      <c r="D1808" s="778"/>
      <c r="E1808" s="878" t="s">
        <v>1500</v>
      </c>
      <c r="F1808" s="878"/>
      <c r="G1808" s="878"/>
      <c r="H1808" s="878"/>
      <c r="I1808" s="878"/>
      <c r="J1808" s="879"/>
      <c r="K1808" s="780">
        <f>+'16.Facility 5 Agri Input'!B266</f>
        <v>0</v>
      </c>
      <c r="L1808" s="781"/>
      <c r="M1808" s="781"/>
      <c r="N1808" s="778">
        <f>+'16.Facility 5 Agri Input'!C266</f>
        <v>0</v>
      </c>
      <c r="O1808" s="778"/>
      <c r="P1808" s="778"/>
      <c r="Q1808" s="874"/>
      <c r="R1808" s="875"/>
      <c r="S1808" s="875"/>
      <c r="T1808" s="875"/>
      <c r="U1808" s="875"/>
      <c r="V1808" s="875"/>
      <c r="W1808" s="875"/>
      <c r="X1808" s="875"/>
      <c r="Y1808" s="876"/>
    </row>
    <row r="1809" spans="3:25">
      <c r="C1809" s="778">
        <v>7</v>
      </c>
      <c r="D1809" s="778"/>
      <c r="E1809" s="878" t="s">
        <v>1501</v>
      </c>
      <c r="F1809" s="878"/>
      <c r="G1809" s="878"/>
      <c r="H1809" s="878"/>
      <c r="I1809" s="878"/>
      <c r="J1809" s="879"/>
      <c r="K1809" s="780">
        <f>+'16.Facility 5 Agri Input'!B267</f>
        <v>0</v>
      </c>
      <c r="L1809" s="781"/>
      <c r="M1809" s="781"/>
      <c r="N1809" s="778">
        <f>+'16.Facility 5 Agri Input'!C267</f>
        <v>0</v>
      </c>
      <c r="O1809" s="778"/>
      <c r="P1809" s="778"/>
      <c r="Q1809" s="874"/>
      <c r="R1809" s="875"/>
      <c r="S1809" s="875"/>
      <c r="T1809" s="875"/>
      <c r="U1809" s="875"/>
      <c r="V1809" s="875"/>
      <c r="W1809" s="875"/>
      <c r="X1809" s="875"/>
      <c r="Y1809" s="876"/>
    </row>
    <row r="1810" spans="3:25">
      <c r="C1810" s="778">
        <v>8</v>
      </c>
      <c r="D1810" s="778"/>
      <c r="E1810" s="878" t="s">
        <v>1495</v>
      </c>
      <c r="F1810" s="878"/>
      <c r="G1810" s="878"/>
      <c r="H1810" s="878"/>
      <c r="I1810" s="878"/>
      <c r="J1810" s="879"/>
      <c r="K1810" s="780">
        <f>+'13.Facility 2 - Besan'!B276</f>
        <v>1</v>
      </c>
      <c r="L1810" s="781"/>
      <c r="M1810" s="781"/>
      <c r="N1810" s="778">
        <f>+'13.Facility 2 - Besan'!C276</f>
        <v>10000</v>
      </c>
      <c r="O1810" s="778"/>
      <c r="P1810" s="778"/>
      <c r="Q1810" s="874"/>
      <c r="R1810" s="875"/>
      <c r="S1810" s="875"/>
      <c r="T1810" s="875"/>
      <c r="U1810" s="875"/>
      <c r="V1810" s="875"/>
      <c r="W1810" s="875"/>
      <c r="X1810" s="875"/>
      <c r="Y1810" s="876"/>
    </row>
    <row r="1811" spans="3:25">
      <c r="C1811" s="778">
        <v>9</v>
      </c>
      <c r="D1811" s="778"/>
      <c r="E1811" s="878" t="s">
        <v>1496</v>
      </c>
      <c r="F1811" s="878"/>
      <c r="G1811" s="878"/>
      <c r="H1811" s="878"/>
      <c r="I1811" s="878"/>
      <c r="J1811" s="879"/>
      <c r="K1811" s="780">
        <f>+'12.Facility 1 Dal Mill'!B175</f>
        <v>2</v>
      </c>
      <c r="L1811" s="781"/>
      <c r="M1811" s="781"/>
      <c r="N1811" s="778">
        <f>+'12.Facility 1 Dal Mill'!C175</f>
        <v>15000</v>
      </c>
      <c r="O1811" s="778"/>
      <c r="P1811" s="778"/>
      <c r="Q1811" s="874"/>
      <c r="R1811" s="875"/>
      <c r="S1811" s="875"/>
      <c r="T1811" s="875"/>
      <c r="U1811" s="875"/>
      <c r="V1811" s="875"/>
      <c r="W1811" s="875"/>
      <c r="X1811" s="875"/>
      <c r="Y1811" s="876"/>
    </row>
    <row r="1812" spans="3:25">
      <c r="C1812" s="778">
        <v>10</v>
      </c>
      <c r="D1812" s="778"/>
      <c r="E1812" s="878" t="s">
        <v>313</v>
      </c>
      <c r="F1812" s="878"/>
      <c r="G1812" s="878"/>
      <c r="H1812" s="878"/>
      <c r="I1812" s="878"/>
      <c r="J1812" s="879"/>
      <c r="K1812" s="780">
        <f>+'15. Facility 4 Custom Hiring'!D52</f>
        <v>1</v>
      </c>
      <c r="L1812" s="781"/>
      <c r="M1812" s="781"/>
      <c r="N1812" s="778">
        <f>+'15. Facility 4 Custom Hiring'!E52</f>
        <v>0</v>
      </c>
      <c r="O1812" s="778"/>
      <c r="P1812" s="778"/>
      <c r="Q1812" s="874"/>
      <c r="R1812" s="875"/>
      <c r="S1812" s="875"/>
      <c r="T1812" s="875"/>
      <c r="U1812" s="875"/>
      <c r="V1812" s="875"/>
      <c r="W1812" s="875"/>
      <c r="X1812" s="875"/>
      <c r="Y1812" s="876"/>
    </row>
    <row r="1813" spans="3:25">
      <c r="C1813" s="778">
        <v>11</v>
      </c>
      <c r="D1813" s="778"/>
      <c r="E1813" s="878" t="e">
        <f>+#REF!</f>
        <v>#REF!</v>
      </c>
      <c r="F1813" s="878"/>
      <c r="G1813" s="878"/>
      <c r="H1813" s="878"/>
      <c r="I1813" s="878"/>
      <c r="J1813" s="879"/>
      <c r="K1813" s="780" t="e">
        <f>+#REF!</f>
        <v>#REF!</v>
      </c>
      <c r="L1813" s="781"/>
      <c r="M1813" s="781"/>
      <c r="N1813" s="778" t="e">
        <f>+#REF!</f>
        <v>#REF!</v>
      </c>
      <c r="O1813" s="778"/>
      <c r="P1813" s="778"/>
      <c r="Q1813" s="874"/>
      <c r="R1813" s="875"/>
      <c r="S1813" s="875"/>
      <c r="T1813" s="875"/>
      <c r="U1813" s="875"/>
      <c r="V1813" s="875"/>
      <c r="W1813" s="875"/>
      <c r="X1813" s="875"/>
      <c r="Y1813" s="876"/>
    </row>
    <row r="1814" spans="3:25" hidden="1">
      <c r="C1814" s="778"/>
      <c r="D1814" s="778"/>
      <c r="E1814" s="781"/>
      <c r="F1814" s="781"/>
      <c r="G1814" s="781"/>
      <c r="H1814" s="781"/>
      <c r="I1814" s="781"/>
      <c r="J1814" s="782"/>
      <c r="K1814" s="780"/>
      <c r="L1814" s="781"/>
      <c r="M1814" s="781"/>
      <c r="N1814" s="778"/>
      <c r="O1814" s="778"/>
      <c r="P1814" s="778"/>
      <c r="Q1814" s="874"/>
      <c r="R1814" s="875"/>
      <c r="S1814" s="875"/>
      <c r="T1814" s="875"/>
      <c r="U1814" s="875"/>
      <c r="V1814" s="875"/>
      <c r="W1814" s="875"/>
      <c r="X1814" s="875"/>
      <c r="Y1814" s="876"/>
    </row>
    <row r="1815" spans="3:25" hidden="1">
      <c r="C1815" s="778"/>
      <c r="D1815" s="778"/>
      <c r="E1815" s="781"/>
      <c r="F1815" s="781"/>
      <c r="G1815" s="781"/>
      <c r="H1815" s="781"/>
      <c r="I1815" s="781"/>
      <c r="J1815" s="782"/>
      <c r="K1815" s="780"/>
      <c r="L1815" s="781"/>
      <c r="M1815" s="781"/>
      <c r="N1815" s="778"/>
      <c r="O1815" s="778"/>
      <c r="P1815" s="778"/>
      <c r="Q1815" s="874"/>
      <c r="R1815" s="875"/>
      <c r="S1815" s="875"/>
      <c r="T1815" s="875"/>
      <c r="U1815" s="875"/>
      <c r="V1815" s="875"/>
      <c r="W1815" s="875"/>
      <c r="X1815" s="875"/>
      <c r="Y1815" s="876"/>
    </row>
    <row r="1816" spans="3:25" hidden="1">
      <c r="C1816" s="778"/>
      <c r="D1816" s="778"/>
      <c r="E1816" s="781"/>
      <c r="F1816" s="781"/>
      <c r="G1816" s="781"/>
      <c r="H1816" s="781"/>
      <c r="I1816" s="781"/>
      <c r="J1816" s="782"/>
      <c r="K1816" s="780"/>
      <c r="L1816" s="781"/>
      <c r="M1816" s="781"/>
      <c r="N1816" s="778"/>
      <c r="O1816" s="778"/>
      <c r="P1816" s="778"/>
      <c r="Q1816" s="874"/>
      <c r="R1816" s="875"/>
      <c r="S1816" s="875"/>
      <c r="T1816" s="875"/>
      <c r="U1816" s="875"/>
      <c r="V1816" s="875"/>
      <c r="W1816" s="875"/>
      <c r="X1816" s="875"/>
      <c r="Y1816" s="876"/>
    </row>
    <row r="1817" spans="3:25" hidden="1">
      <c r="C1817" s="778"/>
      <c r="D1817" s="778"/>
      <c r="E1817" s="781"/>
      <c r="F1817" s="781"/>
      <c r="G1817" s="781"/>
      <c r="H1817" s="781"/>
      <c r="I1817" s="781"/>
      <c r="J1817" s="782"/>
      <c r="K1817" s="780"/>
      <c r="L1817" s="781"/>
      <c r="M1817" s="781"/>
      <c r="N1817" s="778"/>
      <c r="O1817" s="778"/>
      <c r="P1817" s="778"/>
      <c r="Q1817" s="874"/>
      <c r="R1817" s="875"/>
      <c r="S1817" s="875"/>
      <c r="T1817" s="875"/>
      <c r="U1817" s="875"/>
      <c r="V1817" s="875"/>
      <c r="W1817" s="875"/>
      <c r="X1817" s="875"/>
      <c r="Y1817" s="876"/>
    </row>
    <row r="1818" spans="3:25" hidden="1"/>
    <row r="1823" spans="3:25">
      <c r="C1823" s="5" t="s">
        <v>1341</v>
      </c>
    </row>
    <row r="1825" spans="3:25" ht="30.75" customHeight="1">
      <c r="C1825" s="867" t="s">
        <v>952</v>
      </c>
      <c r="D1825" s="867"/>
      <c r="E1825" s="869" t="s">
        <v>1343</v>
      </c>
      <c r="F1825" s="869"/>
      <c r="G1825" s="869"/>
      <c r="H1825" s="869"/>
      <c r="I1825" s="869"/>
      <c r="J1825" s="870"/>
      <c r="K1825" s="868" t="s">
        <v>1339</v>
      </c>
      <c r="L1825" s="869"/>
      <c r="M1825" s="869"/>
      <c r="N1825" s="845" t="s">
        <v>1342</v>
      </c>
      <c r="O1825" s="845"/>
      <c r="P1825" s="845"/>
      <c r="Q1825" s="871" t="s">
        <v>1112</v>
      </c>
      <c r="R1825" s="872"/>
      <c r="S1825" s="872"/>
      <c r="T1825" s="872"/>
      <c r="U1825" s="872"/>
      <c r="V1825" s="872"/>
      <c r="W1825" s="872"/>
      <c r="X1825" s="872"/>
      <c r="Y1825" s="873"/>
    </row>
    <row r="1826" spans="3:25" ht="20.25" customHeight="1">
      <c r="C1826" s="778">
        <v>1</v>
      </c>
      <c r="D1826" s="778"/>
      <c r="E1826" s="878" t="s">
        <v>1344</v>
      </c>
      <c r="F1826" s="878"/>
      <c r="G1826" s="878"/>
      <c r="H1826" s="878"/>
      <c r="I1826" s="878"/>
      <c r="J1826" s="879"/>
      <c r="K1826" s="780">
        <f>+'12.Facility 1 Dal Mill'!B160</f>
        <v>20</v>
      </c>
      <c r="L1826" s="781"/>
      <c r="M1826" s="781"/>
      <c r="N1826" s="778">
        <f>+'12.Facility 1 Dal Mill'!C160</f>
        <v>300</v>
      </c>
      <c r="O1826" s="778"/>
      <c r="P1826" s="778"/>
      <c r="Q1826" s="874"/>
      <c r="R1826" s="875"/>
      <c r="S1826" s="875"/>
      <c r="T1826" s="875"/>
      <c r="U1826" s="875"/>
      <c r="V1826" s="875"/>
      <c r="W1826" s="875"/>
      <c r="X1826" s="875"/>
      <c r="Y1826" s="876"/>
    </row>
    <row r="1827" spans="3:25" ht="20.25" customHeight="1">
      <c r="C1827" s="778">
        <v>2</v>
      </c>
      <c r="D1827" s="778"/>
      <c r="E1827" s="878" t="s">
        <v>1345</v>
      </c>
      <c r="F1827" s="878"/>
      <c r="G1827" s="878"/>
      <c r="H1827" s="878"/>
      <c r="I1827" s="878"/>
      <c r="J1827" s="879"/>
      <c r="K1827" s="780">
        <f>+'13.Facility 2 - Besan'!B263</f>
        <v>5</v>
      </c>
      <c r="L1827" s="781"/>
      <c r="M1827" s="781"/>
      <c r="N1827" s="778">
        <f>+'13.Facility 2 - Besan'!C263</f>
        <v>300</v>
      </c>
      <c r="O1827" s="778"/>
      <c r="P1827" s="778"/>
      <c r="Q1827" s="874"/>
      <c r="R1827" s="875"/>
      <c r="S1827" s="875"/>
      <c r="T1827" s="875"/>
      <c r="U1827" s="875"/>
      <c r="V1827" s="875"/>
      <c r="W1827" s="875"/>
      <c r="X1827" s="875"/>
      <c r="Y1827" s="876"/>
    </row>
    <row r="1828" spans="3:25" ht="20.25" customHeight="1">
      <c r="C1828" s="778">
        <v>3</v>
      </c>
      <c r="D1828" s="778"/>
      <c r="E1828" s="878" t="s">
        <v>1346</v>
      </c>
      <c r="F1828" s="878"/>
      <c r="G1828" s="878"/>
      <c r="H1828" s="878"/>
      <c r="I1828" s="878"/>
      <c r="J1828" s="879"/>
      <c r="K1828" s="780" t="e">
        <f>+'12.Facility 1 Dal Mill'!#REF!</f>
        <v>#REF!</v>
      </c>
      <c r="L1828" s="781"/>
      <c r="M1828" s="781"/>
      <c r="N1828" s="778" t="e">
        <f>+'12.Facility 1 Dal Mill'!#REF!</f>
        <v>#REF!</v>
      </c>
      <c r="O1828" s="778"/>
      <c r="P1828" s="778"/>
      <c r="Q1828" s="874"/>
      <c r="R1828" s="875"/>
      <c r="S1828" s="875"/>
      <c r="T1828" s="875"/>
      <c r="U1828" s="875"/>
      <c r="V1828" s="875"/>
      <c r="W1828" s="875"/>
      <c r="X1828" s="875"/>
      <c r="Y1828" s="876"/>
    </row>
    <row r="1829" spans="3:25" ht="13.5" customHeight="1">
      <c r="C1829" s="778"/>
      <c r="D1829" s="778"/>
      <c r="E1829" s="781"/>
      <c r="F1829" s="781"/>
      <c r="G1829" s="781"/>
      <c r="H1829" s="781"/>
      <c r="I1829" s="781"/>
      <c r="J1829" s="782"/>
      <c r="K1829" s="780"/>
      <c r="L1829" s="781"/>
      <c r="M1829" s="781"/>
      <c r="N1829" s="778"/>
      <c r="O1829" s="778"/>
      <c r="P1829" s="778"/>
      <c r="Q1829" s="874"/>
      <c r="R1829" s="875"/>
      <c r="S1829" s="875"/>
      <c r="T1829" s="875"/>
      <c r="U1829" s="875"/>
      <c r="V1829" s="875"/>
      <c r="W1829" s="875"/>
      <c r="X1829" s="875"/>
      <c r="Y1829" s="876"/>
    </row>
    <row r="1831" spans="3:25" ht="17.25">
      <c r="C1831" s="495" t="s">
        <v>1351</v>
      </c>
    </row>
    <row r="1833" spans="3:25" ht="21" customHeight="1">
      <c r="C1833" s="867" t="s">
        <v>952</v>
      </c>
      <c r="D1833" s="867"/>
      <c r="E1833" s="869" t="s">
        <v>1165</v>
      </c>
      <c r="F1833" s="869"/>
      <c r="G1833" s="869"/>
      <c r="H1833" s="869"/>
      <c r="I1833" s="869"/>
      <c r="J1833" s="870"/>
      <c r="K1833" s="868" t="s">
        <v>1347</v>
      </c>
      <c r="L1833" s="869"/>
      <c r="M1833" s="869"/>
      <c r="N1833" s="869"/>
      <c r="O1833" s="869"/>
      <c r="P1833" s="870"/>
      <c r="Q1833" s="871" t="s">
        <v>1112</v>
      </c>
      <c r="R1833" s="872"/>
      <c r="S1833" s="872"/>
      <c r="T1833" s="872"/>
      <c r="U1833" s="872"/>
      <c r="V1833" s="872"/>
      <c r="W1833" s="872"/>
      <c r="X1833" s="872"/>
      <c r="Y1833" s="873"/>
    </row>
    <row r="1834" spans="3:25" ht="18.75" customHeight="1">
      <c r="C1834" s="778">
        <v>1</v>
      </c>
      <c r="D1834" s="778"/>
      <c r="E1834" s="878" t="s">
        <v>1348</v>
      </c>
      <c r="F1834" s="878"/>
      <c r="G1834" s="878"/>
      <c r="H1834" s="878"/>
      <c r="I1834" s="878"/>
      <c r="J1834" s="879"/>
      <c r="K1834" s="780" t="e">
        <f>+#REF!</f>
        <v>#REF!</v>
      </c>
      <c r="L1834" s="781"/>
      <c r="M1834" s="781"/>
      <c r="N1834" s="781"/>
      <c r="O1834" s="781"/>
      <c r="P1834" s="782"/>
      <c r="Q1834" s="874"/>
      <c r="R1834" s="875"/>
      <c r="S1834" s="875"/>
      <c r="T1834" s="875"/>
      <c r="U1834" s="875"/>
      <c r="V1834" s="875"/>
      <c r="W1834" s="875"/>
      <c r="X1834" s="875"/>
      <c r="Y1834" s="876"/>
    </row>
    <row r="1835" spans="3:25" ht="18.75" customHeight="1">
      <c r="C1835" s="778">
        <v>2</v>
      </c>
      <c r="D1835" s="778"/>
      <c r="E1835" s="878" t="s">
        <v>1349</v>
      </c>
      <c r="F1835" s="878"/>
      <c r="G1835" s="878"/>
      <c r="H1835" s="878"/>
      <c r="I1835" s="878"/>
      <c r="J1835" s="879"/>
      <c r="K1835" s="780">
        <f>+'16.Facility 5 Agri Input'!C265</f>
        <v>0</v>
      </c>
      <c r="L1835" s="781"/>
      <c r="M1835" s="781"/>
      <c r="N1835" s="781"/>
      <c r="O1835" s="781"/>
      <c r="P1835" s="782"/>
      <c r="Q1835" s="874"/>
      <c r="R1835" s="875"/>
      <c r="S1835" s="875"/>
      <c r="T1835" s="875"/>
      <c r="U1835" s="875"/>
      <c r="V1835" s="875"/>
      <c r="W1835" s="875"/>
      <c r="X1835" s="875"/>
      <c r="Y1835" s="876"/>
    </row>
    <row r="1836" spans="3:25" ht="18.75" customHeight="1">
      <c r="C1836" s="778">
        <v>3</v>
      </c>
      <c r="D1836" s="778"/>
      <c r="E1836" s="878" t="e">
        <f>+'12.Facility 1 Dal Mill'!#REF!</f>
        <v>#REF!</v>
      </c>
      <c r="F1836" s="878"/>
      <c r="G1836" s="878"/>
      <c r="H1836" s="878"/>
      <c r="I1836" s="878"/>
      <c r="J1836" s="879"/>
      <c r="K1836" s="880" t="e">
        <f>+'12.Facility 1 Dal Mill'!#REF!/12</f>
        <v>#REF!</v>
      </c>
      <c r="L1836" s="881"/>
      <c r="M1836" s="881"/>
      <c r="N1836" s="881"/>
      <c r="O1836" s="881"/>
      <c r="P1836" s="882"/>
      <c r="Q1836" s="874"/>
      <c r="R1836" s="875"/>
      <c r="S1836" s="875"/>
      <c r="T1836" s="875"/>
      <c r="U1836" s="875"/>
      <c r="V1836" s="875"/>
      <c r="W1836" s="875"/>
      <c r="X1836" s="875"/>
      <c r="Y1836" s="876"/>
    </row>
    <row r="1837" spans="3:25" ht="18.75" customHeight="1">
      <c r="C1837" s="778">
        <v>4</v>
      </c>
      <c r="D1837" s="778"/>
      <c r="E1837" s="878" t="e">
        <f>+'12.Facility 1 Dal Mill'!#REF!</f>
        <v>#REF!</v>
      </c>
      <c r="F1837" s="878"/>
      <c r="G1837" s="878"/>
      <c r="H1837" s="878"/>
      <c r="I1837" s="878"/>
      <c r="J1837" s="879"/>
      <c r="K1837" s="880" t="e">
        <f>+'12.Facility 1 Dal Mill'!#REF!/12</f>
        <v>#REF!</v>
      </c>
      <c r="L1837" s="881"/>
      <c r="M1837" s="881"/>
      <c r="N1837" s="881"/>
      <c r="O1837" s="881"/>
      <c r="P1837" s="882"/>
      <c r="Q1837" s="874"/>
      <c r="R1837" s="875"/>
      <c r="S1837" s="875"/>
      <c r="T1837" s="875"/>
      <c r="U1837" s="875"/>
      <c r="V1837" s="875"/>
      <c r="W1837" s="875"/>
      <c r="X1837" s="875"/>
      <c r="Y1837" s="876"/>
    </row>
    <row r="1838" spans="3:25" ht="18.75" customHeight="1">
      <c r="C1838" s="778">
        <v>5</v>
      </c>
      <c r="D1838" s="778"/>
      <c r="E1838" s="878" t="str">
        <f>+'12.Facility 1 Dal Mill'!A164</f>
        <v>Transportation Charges ( OutWard )</v>
      </c>
      <c r="F1838" s="878"/>
      <c r="G1838" s="878"/>
      <c r="H1838" s="878"/>
      <c r="I1838" s="878"/>
      <c r="J1838" s="879"/>
      <c r="K1838" s="880">
        <f>+'12.Facility 1 Dal Mill'!D164/12</f>
        <v>24956.724844800006</v>
      </c>
      <c r="L1838" s="881"/>
      <c r="M1838" s="881"/>
      <c r="N1838" s="881"/>
      <c r="O1838" s="881"/>
      <c r="P1838" s="882"/>
      <c r="Q1838" s="874"/>
      <c r="R1838" s="875"/>
      <c r="S1838" s="875"/>
      <c r="T1838" s="875"/>
      <c r="U1838" s="875"/>
      <c r="V1838" s="875"/>
      <c r="W1838" s="875"/>
      <c r="X1838" s="875"/>
      <c r="Y1838" s="876"/>
    </row>
    <row r="1840" spans="3:25">
      <c r="C1840" s="5" t="s">
        <v>1350</v>
      </c>
    </row>
    <row r="1842" spans="3:34" ht="68.25" customHeight="1">
      <c r="C1842" s="867" t="s">
        <v>952</v>
      </c>
      <c r="D1842" s="867"/>
      <c r="E1842" s="872" t="s">
        <v>1354</v>
      </c>
      <c r="F1842" s="872"/>
      <c r="G1842" s="872"/>
      <c r="H1842" s="872"/>
      <c r="I1842" s="872"/>
      <c r="J1842" s="873"/>
      <c r="K1842" s="871" t="s">
        <v>1353</v>
      </c>
      <c r="L1842" s="872"/>
      <c r="M1842" s="872"/>
      <c r="N1842" s="845" t="s">
        <v>1352</v>
      </c>
      <c r="O1842" s="845"/>
      <c r="P1842" s="845"/>
      <c r="Q1842" s="871" t="s">
        <v>1112</v>
      </c>
      <c r="R1842" s="872"/>
      <c r="S1842" s="872"/>
      <c r="T1842" s="872"/>
      <c r="U1842" s="872"/>
      <c r="V1842" s="872"/>
      <c r="W1842" s="872"/>
      <c r="X1842" s="872"/>
      <c r="Y1842" s="873"/>
    </row>
    <row r="1843" spans="3:34" ht="21" customHeight="1">
      <c r="C1843" s="778">
        <v>1</v>
      </c>
      <c r="D1843" s="778"/>
      <c r="E1843" s="878" t="s">
        <v>1498</v>
      </c>
      <c r="F1843" s="878"/>
      <c r="G1843" s="878"/>
      <c r="H1843" s="878"/>
      <c r="I1843" s="878"/>
      <c r="J1843" s="879"/>
      <c r="K1843" s="780">
        <v>30</v>
      </c>
      <c r="L1843" s="781"/>
      <c r="M1843" s="781"/>
      <c r="N1843" s="778">
        <v>9</v>
      </c>
      <c r="O1843" s="778"/>
      <c r="P1843" s="778"/>
      <c r="Q1843" s="874"/>
      <c r="R1843" s="875"/>
      <c r="S1843" s="875"/>
      <c r="T1843" s="875"/>
      <c r="U1843" s="875"/>
      <c r="V1843" s="875"/>
      <c r="W1843" s="875"/>
      <c r="X1843" s="875"/>
      <c r="Y1843" s="876"/>
    </row>
    <row r="1844" spans="3:34" ht="21" customHeight="1">
      <c r="C1844" s="778">
        <v>2</v>
      </c>
      <c r="D1844" s="778"/>
      <c r="E1844" s="878" t="s">
        <v>683</v>
      </c>
      <c r="F1844" s="878"/>
      <c r="G1844" s="878"/>
      <c r="H1844" s="878"/>
      <c r="I1844" s="878"/>
      <c r="J1844" s="879"/>
      <c r="K1844" s="780">
        <v>70</v>
      </c>
      <c r="L1844" s="781"/>
      <c r="M1844" s="781"/>
      <c r="N1844" s="778">
        <v>9</v>
      </c>
      <c r="O1844" s="778"/>
      <c r="P1844" s="778"/>
      <c r="Q1844" s="874"/>
      <c r="R1844" s="875"/>
      <c r="S1844" s="875"/>
      <c r="T1844" s="875"/>
      <c r="U1844" s="875"/>
      <c r="V1844" s="875"/>
      <c r="W1844" s="875"/>
      <c r="X1844" s="875"/>
      <c r="Y1844" s="876"/>
      <c r="AG1844" s="729">
        <v>3500</v>
      </c>
      <c r="AH1844" s="729"/>
    </row>
    <row r="1845" spans="3:34" ht="21" customHeight="1">
      <c r="C1845" s="778">
        <v>3</v>
      </c>
      <c r="D1845" s="778"/>
      <c r="E1845" s="878" t="s">
        <v>1499</v>
      </c>
      <c r="F1845" s="878"/>
      <c r="G1845" s="878"/>
      <c r="H1845" s="878"/>
      <c r="I1845" s="878"/>
      <c r="J1845" s="879"/>
      <c r="K1845" s="780">
        <v>2</v>
      </c>
      <c r="L1845" s="781"/>
      <c r="M1845" s="781"/>
      <c r="N1845" s="778">
        <v>9</v>
      </c>
      <c r="O1845" s="778"/>
      <c r="P1845" s="778"/>
      <c r="Q1845" s="874"/>
      <c r="R1845" s="875"/>
      <c r="S1845" s="875"/>
      <c r="T1845" s="875"/>
      <c r="U1845" s="875"/>
      <c r="V1845" s="875"/>
      <c r="W1845" s="875"/>
      <c r="X1845" s="875"/>
      <c r="Y1845" s="876"/>
      <c r="AG1845">
        <f>+AG1844/30</f>
        <v>116.66666666666667</v>
      </c>
    </row>
    <row r="1846" spans="3:34" ht="21" customHeight="1">
      <c r="C1846" s="778"/>
      <c r="D1846" s="778"/>
      <c r="E1846" s="878"/>
      <c r="F1846" s="878"/>
      <c r="G1846" s="878"/>
      <c r="H1846" s="878"/>
      <c r="I1846" s="878"/>
      <c r="J1846" s="879"/>
      <c r="K1846" s="780"/>
      <c r="L1846" s="781"/>
      <c r="M1846" s="781"/>
      <c r="N1846" s="778"/>
      <c r="O1846" s="778"/>
      <c r="P1846" s="778"/>
      <c r="Q1846" s="874"/>
      <c r="R1846" s="875"/>
      <c r="S1846" s="875"/>
      <c r="T1846" s="875"/>
      <c r="U1846" s="875"/>
      <c r="V1846" s="875"/>
      <c r="W1846" s="875"/>
      <c r="X1846" s="875"/>
      <c r="Y1846" s="876"/>
      <c r="AG1846">
        <f>+AG1845/8</f>
        <v>14.583333333333334</v>
      </c>
    </row>
    <row r="1847" spans="3:34">
      <c r="AG1847">
        <f>+AG1846/8</f>
        <v>1.8229166666666667</v>
      </c>
    </row>
    <row r="1848" spans="3:34">
      <c r="C1848" s="5" t="s">
        <v>1355</v>
      </c>
    </row>
    <row r="1849" spans="3:34">
      <c r="C1849" s="778" t="s">
        <v>952</v>
      </c>
      <c r="D1849" s="778"/>
      <c r="E1849" s="778" t="s">
        <v>1321</v>
      </c>
      <c r="F1849" s="778"/>
      <c r="G1849" s="778"/>
      <c r="H1849" s="778"/>
      <c r="I1849" s="778"/>
      <c r="J1849" s="778"/>
      <c r="K1849" s="778"/>
      <c r="L1849" s="778"/>
      <c r="M1849" s="780" t="s">
        <v>1064</v>
      </c>
      <c r="N1849" s="781"/>
      <c r="O1849" s="781"/>
      <c r="P1849" s="782"/>
      <c r="Q1849" s="874" t="s">
        <v>1112</v>
      </c>
      <c r="R1849" s="875"/>
      <c r="S1849" s="875"/>
      <c r="T1849" s="875"/>
      <c r="U1849" s="875"/>
      <c r="V1849" s="875"/>
      <c r="W1849" s="875"/>
      <c r="X1849" s="875"/>
      <c r="Y1849" s="876"/>
    </row>
    <row r="1850" spans="3:34" ht="47.25" customHeight="1">
      <c r="C1850" s="778">
        <v>1</v>
      </c>
      <c r="D1850" s="778"/>
      <c r="E1850" s="836" t="s">
        <v>1356</v>
      </c>
      <c r="F1850" s="836"/>
      <c r="G1850" s="836"/>
      <c r="H1850" s="836"/>
      <c r="I1850" s="836"/>
      <c r="J1850" s="836"/>
      <c r="K1850" s="836"/>
      <c r="L1850" s="836"/>
      <c r="M1850" s="874" t="s">
        <v>1622</v>
      </c>
      <c r="N1850" s="875"/>
      <c r="O1850" s="875"/>
      <c r="P1850" s="876"/>
      <c r="Q1850" s="874"/>
      <c r="R1850" s="875"/>
      <c r="S1850" s="875"/>
      <c r="T1850" s="875"/>
      <c r="U1850" s="875"/>
      <c r="V1850" s="875"/>
      <c r="W1850" s="875"/>
      <c r="X1850" s="875"/>
      <c r="Y1850" s="876"/>
    </row>
    <row r="1851" spans="3:34">
      <c r="C1851" s="778"/>
      <c r="D1851" s="778"/>
      <c r="E1851" s="778"/>
      <c r="F1851" s="778"/>
      <c r="G1851" s="778"/>
      <c r="H1851" s="778"/>
      <c r="I1851" s="778"/>
      <c r="J1851" s="778"/>
      <c r="K1851" s="778"/>
      <c r="L1851" s="778"/>
      <c r="M1851" s="780"/>
      <c r="N1851" s="781"/>
      <c r="O1851" s="781"/>
      <c r="P1851" s="782"/>
      <c r="Q1851" s="874"/>
      <c r="R1851" s="875"/>
      <c r="S1851" s="875"/>
      <c r="T1851" s="875"/>
      <c r="U1851" s="875"/>
      <c r="V1851" s="875"/>
      <c r="W1851" s="875"/>
      <c r="X1851" s="875"/>
      <c r="Y1851" s="876"/>
    </row>
    <row r="1853" spans="3:34">
      <c r="C1853" s="5" t="s">
        <v>1358</v>
      </c>
    </row>
    <row r="1855" spans="3:34" ht="39.75" customHeight="1">
      <c r="C1855" s="476" t="s">
        <v>952</v>
      </c>
      <c r="D1855" s="845" t="s">
        <v>1359</v>
      </c>
      <c r="E1855" s="845"/>
      <c r="F1855" s="845"/>
      <c r="G1855" s="845"/>
      <c r="H1855" s="845"/>
      <c r="I1855" s="845"/>
      <c r="J1855" s="845" t="s">
        <v>1360</v>
      </c>
      <c r="K1855" s="845"/>
      <c r="L1855" s="845"/>
      <c r="M1855" s="845" t="s">
        <v>1361</v>
      </c>
      <c r="N1855" s="845"/>
      <c r="O1855" s="845"/>
      <c r="P1855" s="845"/>
      <c r="Q1855" s="845" t="s">
        <v>1362</v>
      </c>
      <c r="R1855" s="845"/>
      <c r="S1855" s="845"/>
      <c r="T1855" s="845"/>
      <c r="U1855" s="845" t="s">
        <v>1112</v>
      </c>
      <c r="V1855" s="845"/>
      <c r="W1855" s="845"/>
      <c r="X1855" s="845"/>
      <c r="Y1855" s="845"/>
    </row>
    <row r="1856" spans="3:34">
      <c r="C1856" s="477">
        <v>1</v>
      </c>
      <c r="D1856" s="836" t="s">
        <v>1502</v>
      </c>
      <c r="E1856" s="836"/>
      <c r="F1856" s="836"/>
      <c r="G1856" s="836"/>
      <c r="H1856" s="836"/>
      <c r="I1856" s="836"/>
      <c r="J1856" s="836" t="s">
        <v>1503</v>
      </c>
      <c r="K1856" s="836"/>
      <c r="L1856" s="836"/>
      <c r="M1856" s="836">
        <v>4</v>
      </c>
      <c r="N1856" s="836"/>
      <c r="O1856" s="836"/>
      <c r="P1856" s="836"/>
      <c r="Q1856" s="836">
        <v>100</v>
      </c>
      <c r="R1856" s="836"/>
      <c r="S1856" s="836"/>
      <c r="T1856" s="836"/>
      <c r="U1856" s="836" t="s">
        <v>1623</v>
      </c>
      <c r="V1856" s="836"/>
      <c r="W1856" s="836"/>
      <c r="X1856" s="836"/>
      <c r="Y1856" s="836"/>
    </row>
    <row r="1857" spans="3:25">
      <c r="C1857" s="477">
        <v>2</v>
      </c>
      <c r="D1857" s="836"/>
      <c r="E1857" s="836"/>
      <c r="F1857" s="836"/>
      <c r="G1857" s="836"/>
      <c r="H1857" s="836"/>
      <c r="I1857" s="836"/>
      <c r="J1857" s="836"/>
      <c r="K1857" s="836"/>
      <c r="L1857" s="836"/>
      <c r="M1857" s="836"/>
      <c r="N1857" s="836"/>
      <c r="O1857" s="836"/>
      <c r="P1857" s="836"/>
      <c r="Q1857" s="836"/>
      <c r="R1857" s="836"/>
      <c r="S1857" s="836"/>
      <c r="T1857" s="836"/>
      <c r="U1857" s="836"/>
      <c r="V1857" s="836"/>
      <c r="W1857" s="836"/>
      <c r="X1857" s="836"/>
      <c r="Y1857" s="836"/>
    </row>
    <row r="1858" spans="3:25">
      <c r="C1858" s="477">
        <v>3</v>
      </c>
      <c r="D1858" s="836"/>
      <c r="E1858" s="836"/>
      <c r="F1858" s="836"/>
      <c r="G1858" s="836"/>
      <c r="H1858" s="836"/>
      <c r="I1858" s="836"/>
      <c r="J1858" s="836"/>
      <c r="K1858" s="836"/>
      <c r="L1858" s="836"/>
      <c r="M1858" s="836"/>
      <c r="N1858" s="836"/>
      <c r="O1858" s="836"/>
      <c r="P1858" s="836"/>
      <c r="Q1858" s="836"/>
      <c r="R1858" s="836"/>
      <c r="S1858" s="836"/>
      <c r="T1858" s="836"/>
      <c r="U1858" s="836"/>
      <c r="V1858" s="836"/>
      <c r="W1858" s="836"/>
      <c r="X1858" s="836"/>
      <c r="Y1858" s="836"/>
    </row>
    <row r="1859" spans="3:25">
      <c r="C1859" s="477">
        <v>4</v>
      </c>
      <c r="D1859" s="836"/>
      <c r="E1859" s="836"/>
      <c r="F1859" s="836"/>
      <c r="G1859" s="836"/>
      <c r="H1859" s="836"/>
      <c r="I1859" s="836"/>
      <c r="J1859" s="836"/>
      <c r="K1859" s="836"/>
      <c r="L1859" s="836"/>
      <c r="M1859" s="836"/>
      <c r="N1859" s="836"/>
      <c r="O1859" s="836"/>
      <c r="P1859" s="836"/>
      <c r="Q1859" s="836"/>
      <c r="R1859" s="836"/>
      <c r="S1859" s="836"/>
      <c r="T1859" s="836"/>
      <c r="U1859" s="836"/>
      <c r="V1859" s="836"/>
      <c r="W1859" s="836"/>
      <c r="X1859" s="836"/>
      <c r="Y1859" s="836"/>
    </row>
    <row r="1860" spans="3:25">
      <c r="C1860" s="477"/>
      <c r="D1860" s="836"/>
      <c r="E1860" s="836"/>
      <c r="F1860" s="836"/>
      <c r="G1860" s="836"/>
      <c r="H1860" s="836"/>
      <c r="I1860" s="836"/>
      <c r="J1860" s="836"/>
      <c r="K1860" s="836"/>
      <c r="L1860" s="836"/>
      <c r="M1860" s="836"/>
      <c r="N1860" s="836"/>
      <c r="O1860" s="836"/>
      <c r="P1860" s="836"/>
      <c r="Q1860" s="836"/>
      <c r="R1860" s="836"/>
      <c r="S1860" s="836"/>
      <c r="T1860" s="836"/>
      <c r="U1860" s="836"/>
      <c r="V1860" s="836"/>
      <c r="W1860" s="836"/>
      <c r="X1860" s="836"/>
      <c r="Y1860" s="836"/>
    </row>
    <row r="1861" spans="3:25">
      <c r="C1861" t="s">
        <v>1363</v>
      </c>
    </row>
    <row r="1863" spans="3:25">
      <c r="C1863" s="5" t="s">
        <v>1364</v>
      </c>
    </row>
    <row r="1864" spans="3:25" ht="30">
      <c r="C1864" s="476" t="s">
        <v>952</v>
      </c>
      <c r="D1864" s="845" t="s">
        <v>1365</v>
      </c>
      <c r="E1864" s="845"/>
      <c r="F1864" s="845"/>
      <c r="G1864" s="845"/>
      <c r="H1864" s="845"/>
      <c r="I1864" s="845" t="s">
        <v>1366</v>
      </c>
      <c r="J1864" s="845"/>
      <c r="K1864" s="845"/>
      <c r="L1864" s="845" t="s">
        <v>901</v>
      </c>
      <c r="M1864" s="845"/>
      <c r="N1864" s="845"/>
      <c r="O1864" s="845" t="s">
        <v>1361</v>
      </c>
      <c r="P1864" s="845"/>
      <c r="Q1864" s="845"/>
      <c r="R1864" s="845" t="s">
        <v>1367</v>
      </c>
      <c r="S1864" s="845"/>
      <c r="T1864" s="845"/>
      <c r="U1864" s="845" t="s">
        <v>1112</v>
      </c>
      <c r="V1864" s="845"/>
      <c r="W1864" s="845"/>
      <c r="X1864" s="845"/>
      <c r="Y1864" s="845"/>
    </row>
    <row r="1865" spans="3:25">
      <c r="C1865" s="9">
        <v>1</v>
      </c>
      <c r="D1865" s="788">
        <f>+'6.Cons Profit &amp; Loss'!A20</f>
        <v>0</v>
      </c>
      <c r="E1865" s="788"/>
      <c r="F1865" s="788"/>
      <c r="G1865" s="788"/>
      <c r="H1865" s="788"/>
      <c r="I1865" s="786" t="s">
        <v>1505</v>
      </c>
      <c r="J1865" s="786"/>
      <c r="K1865" s="786"/>
      <c r="L1865" s="786" t="s">
        <v>1624</v>
      </c>
      <c r="M1865" s="786"/>
      <c r="N1865" s="786"/>
      <c r="O1865" s="877">
        <f>+'13.Facility 2 - Besan'!D265/30</f>
        <v>2202.331068</v>
      </c>
      <c r="P1865" s="877"/>
      <c r="Q1865" s="877"/>
      <c r="R1865" s="789">
        <f>+'13.Facility 2 - Besan'!C265</f>
        <v>30</v>
      </c>
      <c r="S1865" s="786"/>
      <c r="T1865" s="786"/>
      <c r="U1865" s="786"/>
      <c r="V1865" s="786"/>
      <c r="W1865" s="786"/>
      <c r="X1865" s="786"/>
      <c r="Y1865" s="786"/>
    </row>
    <row r="1866" spans="3:25">
      <c r="C1866" s="9">
        <v>2</v>
      </c>
      <c r="D1866" s="788" t="str">
        <f>+'6.Cons Profit &amp; Loss'!A21</f>
        <v>Facility 1 - Processing Unit- Dal Mill</v>
      </c>
      <c r="E1866" s="788"/>
      <c r="F1866" s="788"/>
      <c r="G1866" s="788"/>
      <c r="H1866" s="788"/>
      <c r="I1866" s="786" t="s">
        <v>1504</v>
      </c>
      <c r="J1866" s="786"/>
      <c r="K1866" s="786"/>
      <c r="L1866" s="786" t="s">
        <v>1624</v>
      </c>
      <c r="M1866" s="786"/>
      <c r="N1866" s="786"/>
      <c r="O1866" s="877">
        <f>+'12.Facility 1 Dal Mill'!D162/'12.Facility 1 Dal Mill'!C162</f>
        <v>14974.034906880004</v>
      </c>
      <c r="P1866" s="877"/>
      <c r="Q1866" s="877"/>
      <c r="R1866" s="789">
        <f>+'12.Facility 1 Dal Mill'!C162</f>
        <v>25</v>
      </c>
      <c r="S1866" s="786"/>
      <c r="T1866" s="786"/>
      <c r="U1866" s="786"/>
      <c r="V1866" s="786"/>
      <c r="W1866" s="786"/>
      <c r="X1866" s="786"/>
      <c r="Y1866" s="786"/>
    </row>
    <row r="1867" spans="3:25" hidden="1">
      <c r="C1867" s="9">
        <v>3</v>
      </c>
      <c r="D1867" s="788" t="str">
        <f>+'6.Cons Profit &amp; Loss'!A23</f>
        <v>Facility 3 - Warehouse</v>
      </c>
      <c r="E1867" s="788"/>
      <c r="F1867" s="788"/>
      <c r="G1867" s="788"/>
      <c r="H1867" s="788"/>
      <c r="I1867" s="786"/>
      <c r="J1867" s="786"/>
      <c r="K1867" s="786"/>
      <c r="L1867" s="786"/>
      <c r="M1867" s="786"/>
      <c r="N1867" s="786"/>
      <c r="O1867" s="786"/>
      <c r="P1867" s="786"/>
      <c r="Q1867" s="786"/>
      <c r="R1867" s="786"/>
      <c r="S1867" s="786"/>
      <c r="T1867" s="786"/>
      <c r="U1867" s="786"/>
      <c r="V1867" s="786"/>
      <c r="W1867" s="786"/>
      <c r="X1867" s="786"/>
      <c r="Y1867" s="786"/>
    </row>
    <row r="1868" spans="3:25" hidden="1">
      <c r="C1868" s="9">
        <v>4</v>
      </c>
      <c r="D1868" s="788" t="str">
        <f>+'6.Cons Profit &amp; Loss'!A24</f>
        <v xml:space="preserve">Facility 4 - Custom Hiring </v>
      </c>
      <c r="E1868" s="788"/>
      <c r="F1868" s="788"/>
      <c r="G1868" s="788"/>
      <c r="H1868" s="788"/>
      <c r="I1868" s="786"/>
      <c r="J1868" s="786"/>
      <c r="K1868" s="786"/>
      <c r="L1868" s="786"/>
      <c r="M1868" s="786"/>
      <c r="N1868" s="786"/>
      <c r="O1868" s="786"/>
      <c r="P1868" s="786"/>
      <c r="Q1868" s="786"/>
      <c r="R1868" s="786"/>
      <c r="S1868" s="786"/>
      <c r="T1868" s="786"/>
      <c r="U1868" s="786"/>
      <c r="V1868" s="786"/>
      <c r="W1868" s="786"/>
      <c r="X1868" s="786"/>
      <c r="Y1868" s="786"/>
    </row>
    <row r="1869" spans="3:25" hidden="1">
      <c r="C1869" s="9">
        <v>5</v>
      </c>
      <c r="D1869" s="788" t="str">
        <f>+'6.Cons Profit &amp; Loss'!A25</f>
        <v>Faclitiy 5 - Agri Input Centre</v>
      </c>
      <c r="E1869" s="788"/>
      <c r="F1869" s="788"/>
      <c r="G1869" s="788"/>
      <c r="H1869" s="788"/>
      <c r="I1869" s="786"/>
      <c r="J1869" s="786"/>
      <c r="K1869" s="786"/>
      <c r="L1869" s="786"/>
      <c r="M1869" s="786"/>
      <c r="N1869" s="786"/>
      <c r="O1869" s="786"/>
      <c r="P1869" s="786"/>
      <c r="Q1869" s="786"/>
      <c r="R1869" s="786"/>
      <c r="S1869" s="786"/>
      <c r="T1869" s="786"/>
      <c r="U1869" s="786"/>
      <c r="V1869" s="786"/>
      <c r="W1869" s="786"/>
      <c r="X1869" s="786"/>
      <c r="Y1869" s="786"/>
    </row>
    <row r="1871" spans="3:25">
      <c r="C1871" s="5" t="s">
        <v>1368</v>
      </c>
    </row>
    <row r="1873" spans="3:25" ht="63.75" customHeight="1">
      <c r="C1873" s="867" t="s">
        <v>952</v>
      </c>
      <c r="D1873" s="867"/>
      <c r="E1873" s="869" t="s">
        <v>1058</v>
      </c>
      <c r="F1873" s="869"/>
      <c r="G1873" s="869"/>
      <c r="H1873" s="869"/>
      <c r="I1873" s="869"/>
      <c r="J1873" s="870"/>
      <c r="K1873" s="871" t="s">
        <v>1370</v>
      </c>
      <c r="L1873" s="872"/>
      <c r="M1873" s="872"/>
      <c r="N1873" s="845" t="s">
        <v>1369</v>
      </c>
      <c r="O1873" s="845"/>
      <c r="P1873" s="845"/>
      <c r="Q1873" s="871" t="s">
        <v>1112</v>
      </c>
      <c r="R1873" s="872"/>
      <c r="S1873" s="872"/>
      <c r="T1873" s="872"/>
      <c r="U1873" s="872"/>
      <c r="V1873" s="872"/>
      <c r="W1873" s="872"/>
      <c r="X1873" s="872"/>
      <c r="Y1873" s="873"/>
    </row>
    <row r="1874" spans="3:25">
      <c r="C1874" s="778">
        <v>1</v>
      </c>
      <c r="D1874" s="778"/>
      <c r="E1874" s="781"/>
      <c r="F1874" s="781"/>
      <c r="G1874" s="781"/>
      <c r="H1874" s="781"/>
      <c r="I1874" s="781"/>
      <c r="J1874" s="782"/>
      <c r="K1874" s="780"/>
      <c r="L1874" s="781"/>
      <c r="M1874" s="781"/>
      <c r="N1874" s="778"/>
      <c r="O1874" s="778"/>
      <c r="P1874" s="778"/>
      <c r="Q1874" s="874"/>
      <c r="R1874" s="875"/>
      <c r="S1874" s="875"/>
      <c r="T1874" s="875"/>
      <c r="U1874" s="875"/>
      <c r="V1874" s="875"/>
      <c r="W1874" s="875"/>
      <c r="X1874" s="875"/>
      <c r="Y1874" s="876"/>
    </row>
    <row r="1875" spans="3:25">
      <c r="C1875" s="778">
        <v>2</v>
      </c>
      <c r="D1875" s="778"/>
      <c r="E1875" s="781"/>
      <c r="F1875" s="781"/>
      <c r="G1875" s="781"/>
      <c r="H1875" s="781"/>
      <c r="I1875" s="781"/>
      <c r="J1875" s="782"/>
      <c r="K1875" s="780"/>
      <c r="L1875" s="781"/>
      <c r="M1875" s="781"/>
      <c r="N1875" s="778"/>
      <c r="O1875" s="778"/>
      <c r="P1875" s="778"/>
      <c r="Q1875" s="874"/>
      <c r="R1875" s="875"/>
      <c r="S1875" s="875"/>
      <c r="T1875" s="875"/>
      <c r="U1875" s="875"/>
      <c r="V1875" s="875"/>
      <c r="W1875" s="875"/>
      <c r="X1875" s="875"/>
      <c r="Y1875" s="876"/>
    </row>
    <row r="1876" spans="3:25">
      <c r="C1876" s="778">
        <v>3</v>
      </c>
      <c r="D1876" s="778"/>
      <c r="E1876" s="781"/>
      <c r="F1876" s="781"/>
      <c r="G1876" s="781"/>
      <c r="H1876" s="781"/>
      <c r="I1876" s="781"/>
      <c r="J1876" s="782"/>
      <c r="K1876" s="780"/>
      <c r="L1876" s="781"/>
      <c r="M1876" s="781"/>
      <c r="N1876" s="778"/>
      <c r="O1876" s="778"/>
      <c r="P1876" s="778"/>
      <c r="Q1876" s="874"/>
      <c r="R1876" s="875"/>
      <c r="S1876" s="875"/>
      <c r="T1876" s="875"/>
      <c r="U1876" s="875"/>
      <c r="V1876" s="875"/>
      <c r="W1876" s="875"/>
      <c r="X1876" s="875"/>
      <c r="Y1876" s="876"/>
    </row>
    <row r="1877" spans="3:25">
      <c r="C1877" s="778">
        <v>4</v>
      </c>
      <c r="D1877" s="778"/>
      <c r="E1877" s="781"/>
      <c r="F1877" s="781"/>
      <c r="G1877" s="781"/>
      <c r="H1877" s="781"/>
      <c r="I1877" s="781"/>
      <c r="J1877" s="782"/>
      <c r="K1877" s="780"/>
      <c r="L1877" s="781"/>
      <c r="M1877" s="781"/>
      <c r="N1877" s="778"/>
      <c r="O1877" s="778"/>
      <c r="P1877" s="778"/>
      <c r="Q1877" s="874"/>
      <c r="R1877" s="875"/>
      <c r="S1877" s="875"/>
      <c r="T1877" s="875"/>
      <c r="U1877" s="875"/>
      <c r="V1877" s="875"/>
      <c r="W1877" s="875"/>
      <c r="X1877" s="875"/>
      <c r="Y1877" s="876"/>
    </row>
    <row r="1879" spans="3:25">
      <c r="C1879" s="5" t="s">
        <v>1371</v>
      </c>
    </row>
    <row r="1881" spans="3:25">
      <c r="C1881" s="867" t="s">
        <v>952</v>
      </c>
      <c r="D1881" s="867"/>
      <c r="E1881" s="867" t="s">
        <v>1165</v>
      </c>
      <c r="F1881" s="867"/>
      <c r="G1881" s="867"/>
      <c r="H1881" s="867"/>
      <c r="I1881" s="867"/>
      <c r="J1881" s="867"/>
      <c r="K1881" s="867"/>
      <c r="L1881" s="867"/>
      <c r="M1881" s="868" t="s">
        <v>1372</v>
      </c>
      <c r="N1881" s="869"/>
      <c r="O1881" s="869"/>
      <c r="P1881" s="870"/>
      <c r="Q1881" s="871" t="s">
        <v>1112</v>
      </c>
      <c r="R1881" s="872"/>
      <c r="S1881" s="872"/>
      <c r="T1881" s="872"/>
      <c r="U1881" s="872"/>
      <c r="V1881" s="872"/>
      <c r="W1881" s="872"/>
      <c r="X1881" s="872"/>
      <c r="Y1881" s="873"/>
    </row>
    <row r="1882" spans="3:25">
      <c r="C1882" s="778">
        <v>1</v>
      </c>
      <c r="D1882" s="778"/>
      <c r="E1882" s="779" t="e">
        <f>+#REF!</f>
        <v>#REF!</v>
      </c>
      <c r="F1882" s="779"/>
      <c r="G1882" s="779"/>
      <c r="H1882" s="779"/>
      <c r="I1882" s="779"/>
      <c r="J1882" s="779"/>
      <c r="K1882" s="779"/>
      <c r="L1882" s="779"/>
      <c r="M1882" s="780" t="e">
        <f>+#REF!</f>
        <v>#REF!</v>
      </c>
      <c r="N1882" s="781"/>
      <c r="O1882" s="781"/>
      <c r="P1882" s="782"/>
      <c r="Q1882" s="874"/>
      <c r="R1882" s="875"/>
      <c r="S1882" s="875"/>
      <c r="T1882" s="875"/>
      <c r="U1882" s="875"/>
      <c r="V1882" s="875"/>
      <c r="W1882" s="875"/>
      <c r="X1882" s="875"/>
      <c r="Y1882" s="876"/>
    </row>
    <row r="1883" spans="3:25">
      <c r="C1883" s="778">
        <v>2</v>
      </c>
      <c r="D1883" s="778"/>
      <c r="E1883" s="779" t="e">
        <f>+#REF!</f>
        <v>#REF!</v>
      </c>
      <c r="F1883" s="779"/>
      <c r="G1883" s="779"/>
      <c r="H1883" s="779"/>
      <c r="I1883" s="779"/>
      <c r="J1883" s="779"/>
      <c r="K1883" s="779"/>
      <c r="L1883" s="779"/>
      <c r="M1883" s="780" t="e">
        <f>+#REF!</f>
        <v>#REF!</v>
      </c>
      <c r="N1883" s="781"/>
      <c r="O1883" s="781"/>
      <c r="P1883" s="782"/>
      <c r="Q1883" s="874"/>
      <c r="R1883" s="875"/>
      <c r="S1883" s="875"/>
      <c r="T1883" s="875"/>
      <c r="U1883" s="875"/>
      <c r="V1883" s="875"/>
      <c r="W1883" s="875"/>
      <c r="X1883" s="875"/>
      <c r="Y1883" s="876"/>
    </row>
    <row r="1884" spans="3:25">
      <c r="C1884" s="778">
        <v>3</v>
      </c>
      <c r="D1884" s="778"/>
      <c r="E1884" s="779" t="e">
        <f>+#REF!</f>
        <v>#REF!</v>
      </c>
      <c r="F1884" s="779"/>
      <c r="G1884" s="779"/>
      <c r="H1884" s="779"/>
      <c r="I1884" s="779"/>
      <c r="J1884" s="779"/>
      <c r="K1884" s="779"/>
      <c r="L1884" s="779"/>
      <c r="M1884" s="780" t="e">
        <f>+#REF!</f>
        <v>#REF!</v>
      </c>
      <c r="N1884" s="781"/>
      <c r="O1884" s="781"/>
      <c r="P1884" s="782"/>
      <c r="Q1884" s="874"/>
      <c r="R1884" s="875"/>
      <c r="S1884" s="875"/>
      <c r="T1884" s="875"/>
      <c r="U1884" s="875"/>
      <c r="V1884" s="875"/>
      <c r="W1884" s="875"/>
      <c r="X1884" s="875"/>
      <c r="Y1884" s="876"/>
    </row>
    <row r="1885" spans="3:25" hidden="1">
      <c r="C1885" s="778">
        <v>4</v>
      </c>
      <c r="D1885" s="778"/>
      <c r="E1885" s="779" t="e">
        <f>+#REF!</f>
        <v>#REF!</v>
      </c>
      <c r="F1885" s="779"/>
      <c r="G1885" s="779"/>
      <c r="H1885" s="779"/>
      <c r="I1885" s="779"/>
      <c r="J1885" s="779"/>
      <c r="K1885" s="779"/>
      <c r="L1885" s="779"/>
      <c r="M1885" s="780" t="e">
        <f>+#REF!</f>
        <v>#REF!</v>
      </c>
      <c r="N1885" s="781"/>
      <c r="O1885" s="781"/>
      <c r="P1885" s="782"/>
      <c r="Q1885" s="874"/>
      <c r="R1885" s="875"/>
      <c r="S1885" s="875"/>
      <c r="T1885" s="875"/>
      <c r="U1885" s="875"/>
      <c r="V1885" s="875"/>
      <c r="W1885" s="875"/>
      <c r="X1885" s="875"/>
      <c r="Y1885" s="876"/>
    </row>
    <row r="1886" spans="3:25">
      <c r="C1886" s="778">
        <v>4</v>
      </c>
      <c r="D1886" s="778"/>
      <c r="E1886" s="779" t="e">
        <f>+#REF!</f>
        <v>#REF!</v>
      </c>
      <c r="F1886" s="779"/>
      <c r="G1886" s="779"/>
      <c r="H1886" s="779"/>
      <c r="I1886" s="779"/>
      <c r="J1886" s="779"/>
      <c r="K1886" s="779"/>
      <c r="L1886" s="779"/>
      <c r="M1886" s="780" t="e">
        <f>+#REF!</f>
        <v>#REF!</v>
      </c>
      <c r="N1886" s="781"/>
      <c r="O1886" s="781"/>
      <c r="P1886" s="782"/>
      <c r="Q1886" s="874"/>
      <c r="R1886" s="875"/>
      <c r="S1886" s="875"/>
      <c r="T1886" s="875"/>
      <c r="U1886" s="875"/>
      <c r="V1886" s="875"/>
      <c r="W1886" s="875"/>
      <c r="X1886" s="875"/>
      <c r="Y1886" s="876"/>
    </row>
    <row r="1887" spans="3:25">
      <c r="C1887" s="778">
        <v>5</v>
      </c>
      <c r="D1887" s="778"/>
      <c r="E1887" s="779" t="e">
        <f>+#REF!</f>
        <v>#REF!</v>
      </c>
      <c r="F1887" s="779"/>
      <c r="G1887" s="779"/>
      <c r="H1887" s="779"/>
      <c r="I1887" s="779"/>
      <c r="J1887" s="779"/>
      <c r="K1887" s="779"/>
      <c r="L1887" s="779"/>
      <c r="M1887" s="780" t="e">
        <f>+#REF!</f>
        <v>#REF!</v>
      </c>
      <c r="N1887" s="781"/>
      <c r="O1887" s="781"/>
      <c r="P1887" s="782"/>
      <c r="Q1887" s="874"/>
      <c r="R1887" s="875"/>
      <c r="S1887" s="875"/>
      <c r="T1887" s="875"/>
      <c r="U1887" s="875"/>
      <c r="V1887" s="875"/>
      <c r="W1887" s="875"/>
      <c r="X1887" s="875"/>
      <c r="Y1887" s="876"/>
    </row>
    <row r="1888" spans="3:25">
      <c r="C1888" s="778">
        <v>6</v>
      </c>
      <c r="D1888" s="778"/>
      <c r="E1888" s="779" t="e">
        <f>+#REF!</f>
        <v>#REF!</v>
      </c>
      <c r="F1888" s="779"/>
      <c r="G1888" s="779"/>
      <c r="H1888" s="779"/>
      <c r="I1888" s="779"/>
      <c r="J1888" s="779"/>
      <c r="K1888" s="779"/>
      <c r="L1888" s="779"/>
      <c r="M1888" s="780" t="e">
        <f>+#REF!</f>
        <v>#REF!</v>
      </c>
      <c r="N1888" s="781"/>
      <c r="O1888" s="781"/>
      <c r="P1888" s="782"/>
      <c r="Q1888" s="874"/>
      <c r="R1888" s="875"/>
      <c r="S1888" s="875"/>
      <c r="T1888" s="875"/>
      <c r="U1888" s="875"/>
      <c r="V1888" s="875"/>
      <c r="W1888" s="875"/>
      <c r="X1888" s="875"/>
      <c r="Y1888" s="876"/>
    </row>
    <row r="1889" spans="3:25">
      <c r="C1889" s="778">
        <v>7</v>
      </c>
      <c r="D1889" s="778"/>
      <c r="E1889" s="779" t="e">
        <f>+#REF!</f>
        <v>#REF!</v>
      </c>
      <c r="F1889" s="779"/>
      <c r="G1889" s="779"/>
      <c r="H1889" s="779"/>
      <c r="I1889" s="779"/>
      <c r="J1889" s="779"/>
      <c r="K1889" s="779"/>
      <c r="L1889" s="779"/>
      <c r="M1889" s="780" t="e">
        <f>+#REF!</f>
        <v>#REF!</v>
      </c>
      <c r="N1889" s="781"/>
      <c r="O1889" s="781"/>
      <c r="P1889" s="782"/>
      <c r="Q1889" s="874"/>
      <c r="R1889" s="875"/>
      <c r="S1889" s="875"/>
      <c r="T1889" s="875"/>
      <c r="U1889" s="875"/>
      <c r="V1889" s="875"/>
      <c r="W1889" s="875"/>
      <c r="X1889" s="875"/>
      <c r="Y1889" s="876"/>
    </row>
    <row r="1890" spans="3:25">
      <c r="C1890" s="778">
        <v>8</v>
      </c>
      <c r="D1890" s="778"/>
      <c r="E1890" s="779" t="e">
        <f>+#REF!</f>
        <v>#REF!</v>
      </c>
      <c r="F1890" s="779"/>
      <c r="G1890" s="779"/>
      <c r="H1890" s="779"/>
      <c r="I1890" s="779"/>
      <c r="J1890" s="779"/>
      <c r="K1890" s="779"/>
      <c r="L1890" s="779"/>
      <c r="M1890" s="780" t="e">
        <f>+#REF!</f>
        <v>#REF!</v>
      </c>
      <c r="N1890" s="781"/>
      <c r="O1890" s="781"/>
      <c r="P1890" s="782"/>
      <c r="Q1890" s="874"/>
      <c r="R1890" s="875"/>
      <c r="S1890" s="875"/>
      <c r="T1890" s="875"/>
      <c r="U1890" s="875"/>
      <c r="V1890" s="875"/>
      <c r="W1890" s="875"/>
      <c r="X1890" s="875"/>
      <c r="Y1890" s="876"/>
    </row>
    <row r="1891" spans="3:25" ht="51.75" customHeight="1">
      <c r="C1891" s="801" t="s">
        <v>1373</v>
      </c>
      <c r="D1891" s="801"/>
      <c r="E1891" s="801"/>
      <c r="F1891" s="801"/>
      <c r="G1891" s="801"/>
      <c r="H1891" s="801"/>
      <c r="I1891" s="801"/>
      <c r="J1891" s="801"/>
      <c r="K1891" s="801"/>
      <c r="L1891" s="801"/>
      <c r="M1891" s="801"/>
      <c r="N1891" s="801"/>
      <c r="O1891" s="801"/>
      <c r="P1891" s="801"/>
      <c r="Q1891" s="801"/>
      <c r="R1891" s="801"/>
      <c r="S1891" s="801"/>
      <c r="T1891" s="801"/>
      <c r="U1891" s="801"/>
      <c r="V1891" s="801"/>
      <c r="W1891" s="801"/>
      <c r="X1891" s="801"/>
      <c r="Y1891" s="801"/>
    </row>
    <row r="1892" spans="3:25" ht="27" customHeight="1">
      <c r="C1892" s="860" t="s">
        <v>1374</v>
      </c>
      <c r="D1892" s="860"/>
      <c r="E1892" s="860"/>
      <c r="F1892" s="860"/>
      <c r="G1892" s="860"/>
      <c r="H1892" s="860"/>
      <c r="I1892" s="860"/>
      <c r="J1892" s="860"/>
      <c r="K1892" s="860"/>
      <c r="L1892" s="860"/>
      <c r="M1892" s="860"/>
      <c r="N1892" s="860"/>
      <c r="O1892" s="860"/>
      <c r="P1892" s="860"/>
      <c r="Q1892" s="860"/>
      <c r="R1892" s="860"/>
      <c r="S1892" s="860"/>
      <c r="T1892" s="860"/>
      <c r="U1892" s="860"/>
      <c r="V1892" s="860"/>
      <c r="W1892" s="860"/>
      <c r="X1892" s="860"/>
      <c r="Y1892" s="860"/>
    </row>
    <row r="1893" spans="3:25" ht="31.5" customHeight="1">
      <c r="C1893" s="861" t="s">
        <v>1375</v>
      </c>
      <c r="D1893" s="861"/>
      <c r="E1893" s="861"/>
      <c r="F1893" s="861"/>
      <c r="G1893" s="861"/>
      <c r="H1893" s="861"/>
      <c r="I1893" s="861"/>
      <c r="J1893" s="861"/>
      <c r="K1893" s="861"/>
      <c r="L1893" s="861"/>
      <c r="M1893" s="861"/>
      <c r="N1893" s="861"/>
      <c r="O1893" s="861"/>
      <c r="P1893" s="861"/>
      <c r="Q1893" s="861"/>
      <c r="R1893" s="861"/>
      <c r="S1893" s="861"/>
      <c r="T1893" s="861"/>
      <c r="U1893" s="861"/>
      <c r="V1893" s="861"/>
      <c r="W1893" s="861"/>
      <c r="X1893" s="861"/>
      <c r="Y1893" s="861"/>
    </row>
    <row r="1894" spans="3:25">
      <c r="C1894" s="801"/>
      <c r="D1894" s="801"/>
      <c r="E1894" s="801"/>
      <c r="F1894" s="801"/>
      <c r="G1894" s="801"/>
      <c r="H1894" s="801"/>
      <c r="I1894" s="801"/>
      <c r="J1894" s="801"/>
      <c r="K1894" s="801"/>
      <c r="L1894" s="801"/>
      <c r="M1894" s="801"/>
      <c r="N1894" s="801"/>
      <c r="O1894" s="801"/>
      <c r="P1894" s="801"/>
      <c r="Q1894" s="801"/>
      <c r="R1894" s="801"/>
      <c r="S1894" s="801"/>
      <c r="T1894" s="801"/>
      <c r="U1894" s="801"/>
      <c r="V1894" s="801"/>
      <c r="W1894" s="801"/>
      <c r="X1894" s="801"/>
      <c r="Y1894" s="801"/>
    </row>
    <row r="1895" spans="3:25">
      <c r="C1895" s="802" t="s">
        <v>1376</v>
      </c>
      <c r="D1895" s="802"/>
      <c r="E1895" s="802"/>
      <c r="F1895" s="802"/>
      <c r="G1895" s="802"/>
      <c r="H1895" s="802"/>
      <c r="I1895" s="802"/>
      <c r="J1895" s="802"/>
      <c r="K1895" s="802"/>
      <c r="L1895" s="802"/>
      <c r="M1895" s="802"/>
      <c r="N1895" s="802"/>
      <c r="O1895" s="802"/>
      <c r="P1895" s="802"/>
      <c r="Q1895" s="802"/>
      <c r="R1895" s="802"/>
      <c r="S1895" s="802"/>
      <c r="T1895" s="802"/>
      <c r="U1895" s="802"/>
      <c r="V1895" s="802"/>
      <c r="W1895" s="802"/>
      <c r="X1895" s="802"/>
      <c r="Y1895" s="802"/>
    </row>
    <row r="1896" spans="3:25">
      <c r="C1896" s="801"/>
      <c r="D1896" s="801"/>
      <c r="E1896" s="801"/>
      <c r="F1896" s="801"/>
      <c r="G1896" s="801"/>
      <c r="H1896" s="801"/>
      <c r="I1896" s="801"/>
      <c r="J1896" s="801"/>
      <c r="K1896" s="801"/>
      <c r="L1896" s="801"/>
      <c r="M1896" s="801"/>
      <c r="N1896" s="801"/>
      <c r="O1896" s="801"/>
      <c r="P1896" s="801"/>
      <c r="Q1896" s="801"/>
      <c r="R1896" s="801"/>
      <c r="S1896" s="801"/>
      <c r="T1896" s="801"/>
      <c r="U1896" s="801"/>
      <c r="V1896" s="801"/>
      <c r="W1896" s="801"/>
      <c r="X1896" s="801"/>
      <c r="Y1896" s="801"/>
    </row>
    <row r="1897" spans="3:25" ht="15" customHeight="1">
      <c r="C1897" s="801" t="s">
        <v>1377</v>
      </c>
      <c r="D1897" s="801"/>
      <c r="E1897" s="801"/>
      <c r="F1897" s="801"/>
      <c r="G1897" s="801"/>
      <c r="H1897" s="801"/>
      <c r="I1897" s="801"/>
      <c r="J1897" s="801"/>
      <c r="K1897" s="801"/>
      <c r="L1897" s="801"/>
      <c r="M1897" s="801"/>
      <c r="N1897" s="801"/>
      <c r="O1897" s="801"/>
      <c r="P1897" s="801"/>
      <c r="Q1897" s="801"/>
      <c r="R1897" s="801"/>
      <c r="S1897" s="863">
        <v>0.95</v>
      </c>
      <c r="T1897" s="776"/>
      <c r="U1897" s="776"/>
      <c r="V1897" s="776"/>
      <c r="W1897" s="776"/>
      <c r="X1897" s="776"/>
      <c r="Y1897" s="210"/>
    </row>
    <row r="1898" spans="3:25" ht="15" customHeight="1">
      <c r="C1898" s="801" t="s">
        <v>1378</v>
      </c>
      <c r="D1898" s="801"/>
      <c r="E1898" s="801"/>
      <c r="F1898" s="801"/>
      <c r="G1898" s="801"/>
      <c r="H1898" s="801"/>
      <c r="I1898" s="801"/>
      <c r="J1898" s="801"/>
      <c r="K1898" s="801"/>
      <c r="L1898" s="801"/>
      <c r="M1898" s="801"/>
      <c r="N1898" s="801"/>
      <c r="O1898" s="801"/>
      <c r="P1898" s="801"/>
      <c r="Q1898" s="801"/>
      <c r="R1898" s="801"/>
      <c r="S1898" s="863">
        <v>0.8</v>
      </c>
      <c r="T1898" s="776"/>
      <c r="U1898" s="776"/>
      <c r="V1898" s="776"/>
      <c r="W1898" s="776"/>
      <c r="X1898" s="776"/>
      <c r="Y1898" s="458"/>
    </row>
    <row r="1899" spans="3:25" ht="15" customHeight="1">
      <c r="C1899" s="801" t="s">
        <v>1379</v>
      </c>
      <c r="D1899" s="801"/>
      <c r="E1899" s="801"/>
      <c r="F1899" s="801"/>
      <c r="G1899" s="801"/>
      <c r="H1899" s="801"/>
      <c r="I1899" s="801"/>
      <c r="J1899" s="801"/>
      <c r="K1899" s="801"/>
      <c r="L1899" s="801"/>
      <c r="M1899" s="801"/>
      <c r="N1899" s="801"/>
      <c r="O1899" s="801"/>
      <c r="P1899" s="801"/>
      <c r="Q1899" s="801"/>
      <c r="R1899" s="801"/>
      <c r="S1899" s="863">
        <v>0.08</v>
      </c>
      <c r="T1899" s="776"/>
      <c r="U1899" s="776"/>
      <c r="V1899" s="776"/>
      <c r="W1899" s="776"/>
      <c r="X1899" s="776"/>
      <c r="Y1899" s="458"/>
    </row>
    <row r="1900" spans="3:25" ht="15" customHeight="1">
      <c r="C1900" s="801" t="s">
        <v>1380</v>
      </c>
      <c r="D1900" s="801"/>
      <c r="E1900" s="801"/>
      <c r="F1900" s="801"/>
      <c r="G1900" s="801"/>
      <c r="H1900" s="801"/>
      <c r="I1900" s="801"/>
      <c r="J1900" s="801"/>
      <c r="K1900" s="801"/>
      <c r="L1900" s="801"/>
      <c r="M1900" s="801"/>
      <c r="N1900" s="801"/>
      <c r="O1900" s="801"/>
      <c r="P1900" s="801"/>
      <c r="Q1900" s="801"/>
      <c r="R1900" s="801"/>
      <c r="S1900" s="863">
        <v>0.12</v>
      </c>
      <c r="T1900" s="776"/>
      <c r="U1900" s="776"/>
      <c r="V1900" s="776"/>
      <c r="W1900" s="776"/>
      <c r="X1900" s="776"/>
      <c r="Y1900" s="458"/>
    </row>
    <row r="1901" spans="3:25" ht="15" customHeight="1">
      <c r="C1901" s="801" t="s">
        <v>1381</v>
      </c>
      <c r="D1901" s="801"/>
      <c r="E1901" s="801"/>
      <c r="F1901" s="801"/>
      <c r="G1901" s="801"/>
      <c r="H1901" s="801"/>
      <c r="I1901" s="801"/>
      <c r="J1901" s="801"/>
      <c r="K1901" s="801"/>
      <c r="L1901" s="801"/>
      <c r="M1901" s="801"/>
      <c r="N1901" s="801"/>
      <c r="O1901" s="801"/>
      <c r="P1901" s="801"/>
      <c r="Q1901" s="801"/>
      <c r="R1901" s="801"/>
      <c r="S1901" s="776">
        <v>55000</v>
      </c>
      <c r="T1901" s="776"/>
      <c r="U1901" s="776"/>
      <c r="V1901" s="776"/>
      <c r="W1901" s="776"/>
      <c r="X1901" s="776"/>
      <c r="Y1901" s="458"/>
    </row>
    <row r="1902" spans="3:25" ht="15" customHeight="1">
      <c r="C1902" s="801" t="s">
        <v>1382</v>
      </c>
      <c r="D1902" s="801"/>
      <c r="E1902" s="801"/>
      <c r="F1902" s="801"/>
      <c r="G1902" s="801"/>
      <c r="H1902" s="801"/>
      <c r="I1902" s="801"/>
      <c r="J1902" s="801"/>
      <c r="K1902" s="801"/>
      <c r="L1902" s="801"/>
      <c r="M1902" s="801"/>
      <c r="N1902" s="801"/>
      <c r="O1902" s="801"/>
      <c r="P1902" s="801"/>
      <c r="Q1902" s="801"/>
      <c r="R1902" s="801"/>
      <c r="S1902" s="776" t="e">
        <f>+#REF!</f>
        <v>#REF!</v>
      </c>
      <c r="T1902" s="776"/>
      <c r="U1902" s="776"/>
      <c r="V1902" s="776"/>
      <c r="W1902" s="776"/>
      <c r="X1902" s="776"/>
      <c r="Y1902" s="458"/>
    </row>
    <row r="1903" spans="3:25" ht="15" customHeight="1">
      <c r="C1903" s="801" t="s">
        <v>1383</v>
      </c>
      <c r="D1903" s="801"/>
      <c r="E1903" s="801"/>
      <c r="F1903" s="801"/>
      <c r="G1903" s="801"/>
      <c r="H1903" s="801"/>
      <c r="I1903" s="801"/>
      <c r="J1903" s="801"/>
      <c r="K1903" s="801"/>
      <c r="L1903" s="801"/>
      <c r="M1903" s="801"/>
      <c r="N1903" s="801"/>
      <c r="O1903" s="801"/>
      <c r="P1903" s="801"/>
      <c r="Q1903" s="801"/>
      <c r="R1903" s="801"/>
      <c r="S1903" s="866">
        <f>+'6.Cons Profit &amp; Loss'!B55</f>
        <v>257924.05605207125</v>
      </c>
      <c r="T1903" s="866"/>
      <c r="U1903" s="866"/>
      <c r="V1903" s="866"/>
      <c r="W1903" s="866"/>
      <c r="X1903" s="866"/>
      <c r="Y1903" s="458"/>
    </row>
    <row r="1904" spans="3:25">
      <c r="C1904" s="801"/>
      <c r="D1904" s="801"/>
      <c r="E1904" s="801"/>
      <c r="F1904" s="801"/>
      <c r="G1904" s="801"/>
      <c r="H1904" s="801"/>
      <c r="I1904" s="801"/>
      <c r="J1904" s="801"/>
      <c r="K1904" s="801"/>
      <c r="L1904" s="801"/>
      <c r="M1904" s="801"/>
      <c r="N1904" s="801"/>
      <c r="O1904" s="801"/>
      <c r="P1904" s="801"/>
      <c r="Q1904" s="801"/>
      <c r="R1904" s="801"/>
      <c r="S1904" s="801"/>
      <c r="T1904" s="801"/>
      <c r="U1904" s="801"/>
      <c r="V1904" s="801"/>
      <c r="W1904" s="801"/>
      <c r="X1904" s="801"/>
      <c r="Y1904" s="801"/>
    </row>
    <row r="1905" spans="3:25">
      <c r="C1905" s="458"/>
      <c r="D1905" s="458"/>
      <c r="E1905" s="458"/>
      <c r="F1905" s="458"/>
      <c r="G1905" s="458"/>
      <c r="H1905" s="458"/>
      <c r="I1905" s="458"/>
      <c r="J1905" s="458"/>
      <c r="K1905" s="458"/>
      <c r="L1905" s="458"/>
      <c r="M1905" s="458"/>
      <c r="N1905" s="458"/>
      <c r="O1905" s="458"/>
      <c r="P1905" s="458"/>
      <c r="Q1905" s="458"/>
      <c r="R1905" s="458"/>
      <c r="S1905" s="458"/>
      <c r="T1905" s="458"/>
      <c r="U1905" s="458"/>
      <c r="V1905" s="458"/>
      <c r="W1905" s="458"/>
      <c r="X1905" s="458"/>
      <c r="Y1905" s="458"/>
    </row>
    <row r="1906" spans="3:25">
      <c r="C1906" s="458"/>
      <c r="D1906" s="458"/>
      <c r="E1906" s="458"/>
      <c r="F1906" s="458"/>
      <c r="G1906" s="458"/>
      <c r="H1906" s="458"/>
      <c r="I1906" s="458"/>
      <c r="J1906" s="458"/>
      <c r="K1906" s="458"/>
      <c r="L1906" s="458"/>
      <c r="M1906" s="458"/>
      <c r="N1906" s="458"/>
      <c r="O1906" s="458"/>
      <c r="P1906" s="458"/>
      <c r="Q1906" s="458"/>
      <c r="R1906" s="458"/>
      <c r="S1906" s="458"/>
      <c r="T1906" s="458"/>
      <c r="U1906" s="458"/>
      <c r="V1906" s="458"/>
      <c r="W1906" s="458"/>
      <c r="X1906" s="458"/>
      <c r="Y1906" s="458"/>
    </row>
    <row r="1907" spans="3:25" ht="10.5" customHeight="1">
      <c r="C1907" s="458"/>
      <c r="D1907" s="458"/>
      <c r="E1907" s="458"/>
      <c r="F1907" s="458"/>
      <c r="G1907" s="458"/>
      <c r="H1907" s="458"/>
      <c r="I1907" s="458"/>
      <c r="J1907" s="458"/>
      <c r="K1907" s="458"/>
      <c r="L1907" s="458"/>
      <c r="M1907" s="458"/>
      <c r="N1907" s="458"/>
      <c r="O1907" s="458"/>
      <c r="P1907" s="458"/>
      <c r="Q1907" s="458"/>
      <c r="R1907" s="458"/>
      <c r="S1907" s="458"/>
      <c r="T1907" s="458"/>
      <c r="U1907" s="458"/>
      <c r="V1907" s="458"/>
      <c r="W1907" s="458"/>
      <c r="X1907" s="458"/>
      <c r="Y1907" s="458"/>
    </row>
    <row r="1908" spans="3:25" ht="30" customHeight="1">
      <c r="C1908" s="864" t="s">
        <v>1919</v>
      </c>
      <c r="D1908" s="864"/>
      <c r="E1908" s="864"/>
      <c r="F1908" s="864"/>
      <c r="G1908" s="864"/>
      <c r="H1908" s="864"/>
      <c r="I1908" s="864"/>
      <c r="J1908" s="864"/>
      <c r="K1908" s="864"/>
      <c r="L1908" s="864"/>
      <c r="M1908" s="864"/>
      <c r="N1908" s="864"/>
      <c r="O1908" s="864"/>
      <c r="P1908" s="864"/>
      <c r="Q1908" s="864"/>
      <c r="R1908" s="864"/>
      <c r="S1908" s="864"/>
      <c r="T1908" s="864"/>
      <c r="U1908" s="864"/>
      <c r="V1908" s="864"/>
      <c r="W1908" s="864"/>
      <c r="X1908" s="864"/>
      <c r="Y1908" s="864"/>
    </row>
    <row r="1909" spans="3:25" ht="19.5" customHeight="1">
      <c r="C1909" s="865" t="s">
        <v>1920</v>
      </c>
      <c r="D1909" s="865"/>
      <c r="E1909" s="865"/>
      <c r="F1909" s="865"/>
      <c r="G1909" s="865"/>
      <c r="H1909" s="865"/>
      <c r="I1909" s="865"/>
      <c r="J1909" s="865"/>
      <c r="K1909" s="865"/>
      <c r="L1909" s="865"/>
      <c r="M1909" s="865"/>
      <c r="N1909" s="865"/>
      <c r="O1909" s="865"/>
      <c r="P1909" s="865"/>
      <c r="Q1909" s="865"/>
      <c r="R1909" s="865"/>
      <c r="S1909" s="865"/>
      <c r="T1909" s="865"/>
      <c r="U1909" s="865"/>
      <c r="V1909" s="865"/>
      <c r="W1909" s="865"/>
      <c r="X1909" s="865"/>
      <c r="Y1909" s="865"/>
    </row>
    <row r="1910" spans="3:25" ht="45.75" customHeight="1">
      <c r="C1910" s="723" t="s">
        <v>1258</v>
      </c>
      <c r="D1910" s="723"/>
      <c r="E1910" s="723"/>
      <c r="F1910" s="723"/>
      <c r="G1910" s="723"/>
      <c r="H1910" s="723"/>
      <c r="I1910" s="723"/>
      <c r="J1910" s="723"/>
      <c r="K1910" s="723"/>
      <c r="L1910" s="723"/>
      <c r="M1910" s="723"/>
      <c r="N1910" s="723"/>
      <c r="O1910" s="723"/>
      <c r="P1910" s="723"/>
      <c r="Q1910" s="723"/>
      <c r="R1910" s="723"/>
      <c r="S1910" s="723"/>
      <c r="T1910" s="723" t="s">
        <v>1432</v>
      </c>
      <c r="U1910" s="723"/>
      <c r="V1910" s="723"/>
      <c r="W1910" s="862" t="s">
        <v>1433</v>
      </c>
      <c r="X1910" s="862"/>
      <c r="Y1910" s="862"/>
    </row>
    <row r="1911" spans="3:25">
      <c r="C1911" s="856" t="s">
        <v>1385</v>
      </c>
      <c r="D1911" s="856"/>
      <c r="E1911" s="856"/>
      <c r="F1911" s="856"/>
      <c r="G1911" s="856"/>
      <c r="H1911" s="856"/>
      <c r="I1911" s="856"/>
      <c r="J1911" s="856"/>
      <c r="K1911" s="856"/>
      <c r="L1911" s="856"/>
      <c r="M1911" s="856"/>
      <c r="N1911" s="856"/>
      <c r="O1911" s="856"/>
      <c r="P1911" s="856"/>
      <c r="Q1911" s="856"/>
      <c r="R1911" s="856"/>
      <c r="S1911" s="856"/>
      <c r="T1911" s="855" t="s">
        <v>1384</v>
      </c>
      <c r="U1911" s="855"/>
      <c r="V1911" s="855"/>
      <c r="W1911" s="855">
        <v>0</v>
      </c>
      <c r="X1911" s="855"/>
      <c r="Y1911" s="855"/>
    </row>
    <row r="1912" spans="3:25">
      <c r="C1912" s="856" t="s">
        <v>1386</v>
      </c>
      <c r="D1912" s="856"/>
      <c r="E1912" s="856"/>
      <c r="F1912" s="856"/>
      <c r="G1912" s="856"/>
      <c r="H1912" s="856"/>
      <c r="I1912" s="856"/>
      <c r="J1912" s="856"/>
      <c r="K1912" s="856"/>
      <c r="L1912" s="856"/>
      <c r="M1912" s="856"/>
      <c r="N1912" s="856"/>
      <c r="O1912" s="856"/>
      <c r="P1912" s="856"/>
      <c r="Q1912" s="856"/>
      <c r="R1912" s="856"/>
      <c r="S1912" s="856"/>
      <c r="T1912" s="855" t="s">
        <v>1384</v>
      </c>
      <c r="U1912" s="855"/>
      <c r="V1912" s="855"/>
      <c r="W1912" s="855">
        <v>0</v>
      </c>
      <c r="X1912" s="855"/>
      <c r="Y1912" s="855"/>
    </row>
    <row r="1913" spans="3:25">
      <c r="C1913" s="856" t="s">
        <v>1387</v>
      </c>
      <c r="D1913" s="856"/>
      <c r="E1913" s="856"/>
      <c r="F1913" s="856"/>
      <c r="G1913" s="856"/>
      <c r="H1913" s="856"/>
      <c r="I1913" s="856"/>
      <c r="J1913" s="856"/>
      <c r="K1913" s="856"/>
      <c r="L1913" s="856"/>
      <c r="M1913" s="856"/>
      <c r="N1913" s="856"/>
      <c r="O1913" s="856"/>
      <c r="P1913" s="856"/>
      <c r="Q1913" s="856"/>
      <c r="R1913" s="856"/>
      <c r="S1913" s="856"/>
      <c r="T1913" s="855" t="s">
        <v>1384</v>
      </c>
      <c r="U1913" s="855"/>
      <c r="V1913" s="855"/>
      <c r="W1913" s="855">
        <v>0</v>
      </c>
      <c r="X1913" s="855"/>
      <c r="Y1913" s="855"/>
    </row>
    <row r="1914" spans="3:25" ht="17.25" customHeight="1">
      <c r="C1914" s="856" t="s">
        <v>1388</v>
      </c>
      <c r="D1914" s="856"/>
      <c r="E1914" s="856"/>
      <c r="F1914" s="856"/>
      <c r="G1914" s="856"/>
      <c r="H1914" s="856"/>
      <c r="I1914" s="856"/>
      <c r="J1914" s="856"/>
      <c r="K1914" s="856"/>
      <c r="L1914" s="856"/>
      <c r="M1914" s="856"/>
      <c r="N1914" s="856"/>
      <c r="O1914" s="856"/>
      <c r="P1914" s="856"/>
      <c r="Q1914" s="856"/>
      <c r="R1914" s="856"/>
      <c r="S1914" s="856"/>
      <c r="T1914" s="855" t="s">
        <v>1384</v>
      </c>
      <c r="U1914" s="855"/>
      <c r="V1914" s="855"/>
      <c r="W1914" s="855">
        <v>0</v>
      </c>
      <c r="X1914" s="855"/>
      <c r="Y1914" s="855"/>
    </row>
    <row r="1915" spans="3:25" ht="17.25" customHeight="1">
      <c r="C1915" s="856" t="s">
        <v>1397</v>
      </c>
      <c r="D1915" s="856"/>
      <c r="E1915" s="856"/>
      <c r="F1915" s="856"/>
      <c r="G1915" s="856"/>
      <c r="H1915" s="856"/>
      <c r="I1915" s="856"/>
      <c r="J1915" s="856"/>
      <c r="K1915" s="856"/>
      <c r="L1915" s="856"/>
      <c r="M1915" s="856"/>
      <c r="N1915" s="856"/>
      <c r="O1915" s="856"/>
      <c r="P1915" s="856"/>
      <c r="Q1915" s="856"/>
      <c r="R1915" s="856"/>
      <c r="S1915" s="856"/>
      <c r="T1915" s="855"/>
      <c r="U1915" s="855"/>
      <c r="V1915" s="855"/>
      <c r="W1915" s="855">
        <v>0</v>
      </c>
      <c r="X1915" s="855"/>
      <c r="Y1915" s="855"/>
    </row>
    <row r="1916" spans="3:25" ht="17.25" customHeight="1">
      <c r="C1916" s="856" t="s">
        <v>1398</v>
      </c>
      <c r="D1916" s="856"/>
      <c r="E1916" s="856"/>
      <c r="F1916" s="856"/>
      <c r="G1916" s="856"/>
      <c r="H1916" s="856"/>
      <c r="I1916" s="856"/>
      <c r="J1916" s="856"/>
      <c r="K1916" s="856"/>
      <c r="L1916" s="856"/>
      <c r="M1916" s="856"/>
      <c r="N1916" s="856"/>
      <c r="O1916" s="856"/>
      <c r="P1916" s="856"/>
      <c r="Q1916" s="856"/>
      <c r="R1916" s="856"/>
      <c r="S1916" s="856"/>
      <c r="T1916" s="857" t="s">
        <v>1384</v>
      </c>
      <c r="U1916" s="858"/>
      <c r="V1916" s="859"/>
      <c r="W1916" s="855">
        <v>0</v>
      </c>
      <c r="X1916" s="855"/>
      <c r="Y1916" s="855"/>
    </row>
    <row r="1917" spans="3:25" ht="17.25" customHeight="1">
      <c r="C1917" s="856" t="s">
        <v>1399</v>
      </c>
      <c r="D1917" s="856"/>
      <c r="E1917" s="856"/>
      <c r="F1917" s="856"/>
      <c r="G1917" s="856"/>
      <c r="H1917" s="856"/>
      <c r="I1917" s="856"/>
      <c r="J1917" s="856"/>
      <c r="K1917" s="856"/>
      <c r="L1917" s="856"/>
      <c r="M1917" s="856"/>
      <c r="N1917" s="856"/>
      <c r="O1917" s="856"/>
      <c r="P1917" s="856"/>
      <c r="Q1917" s="856"/>
      <c r="R1917" s="856"/>
      <c r="S1917" s="856"/>
      <c r="T1917" s="857" t="s">
        <v>1384</v>
      </c>
      <c r="U1917" s="858"/>
      <c r="V1917" s="859"/>
      <c r="W1917" s="855">
        <v>0</v>
      </c>
      <c r="X1917" s="855"/>
      <c r="Y1917" s="855"/>
    </row>
    <row r="1918" spans="3:25">
      <c r="C1918" s="856" t="s">
        <v>1400</v>
      </c>
      <c r="D1918" s="856"/>
      <c r="E1918" s="856"/>
      <c r="F1918" s="856"/>
      <c r="G1918" s="856"/>
      <c r="H1918" s="856"/>
      <c r="I1918" s="856"/>
      <c r="J1918" s="856"/>
      <c r="K1918" s="856"/>
      <c r="L1918" s="856"/>
      <c r="M1918" s="856"/>
      <c r="N1918" s="856"/>
      <c r="O1918" s="856"/>
      <c r="P1918" s="856"/>
      <c r="Q1918" s="856"/>
      <c r="R1918" s="856"/>
      <c r="S1918" s="856"/>
      <c r="T1918" s="857" t="s">
        <v>1384</v>
      </c>
      <c r="U1918" s="858"/>
      <c r="V1918" s="859"/>
      <c r="W1918" s="855">
        <v>0</v>
      </c>
      <c r="X1918" s="855"/>
      <c r="Y1918" s="855"/>
    </row>
    <row r="1919" spans="3:25" ht="20.25" customHeight="1">
      <c r="C1919" s="856" t="s">
        <v>1401</v>
      </c>
      <c r="D1919" s="856"/>
      <c r="E1919" s="856"/>
      <c r="F1919" s="856"/>
      <c r="G1919" s="856"/>
      <c r="H1919" s="856"/>
      <c r="I1919" s="856"/>
      <c r="J1919" s="856"/>
      <c r="K1919" s="856"/>
      <c r="L1919" s="856"/>
      <c r="M1919" s="856"/>
      <c r="N1919" s="856"/>
      <c r="O1919" s="856"/>
      <c r="P1919" s="856"/>
      <c r="Q1919" s="856"/>
      <c r="R1919" s="856"/>
      <c r="S1919" s="856"/>
      <c r="T1919" s="857" t="s">
        <v>1384</v>
      </c>
      <c r="U1919" s="858"/>
      <c r="V1919" s="859"/>
      <c r="W1919" s="855">
        <v>0</v>
      </c>
      <c r="X1919" s="855"/>
      <c r="Y1919" s="855"/>
    </row>
    <row r="1920" spans="3:25">
      <c r="C1920" s="856" t="s">
        <v>1402</v>
      </c>
      <c r="D1920" s="856"/>
      <c r="E1920" s="856"/>
      <c r="F1920" s="856"/>
      <c r="G1920" s="856"/>
      <c r="H1920" s="856"/>
      <c r="I1920" s="856"/>
      <c r="J1920" s="856"/>
      <c r="K1920" s="856"/>
      <c r="L1920" s="856"/>
      <c r="M1920" s="856"/>
      <c r="N1920" s="856"/>
      <c r="O1920" s="856"/>
      <c r="P1920" s="856"/>
      <c r="Q1920" s="856"/>
      <c r="R1920" s="856"/>
      <c r="S1920" s="856"/>
      <c r="T1920" s="857" t="s">
        <v>1384</v>
      </c>
      <c r="U1920" s="858"/>
      <c r="V1920" s="859"/>
      <c r="W1920" s="855">
        <v>0</v>
      </c>
      <c r="X1920" s="855"/>
      <c r="Y1920" s="855"/>
    </row>
    <row r="1921" spans="3:25" ht="30.75" customHeight="1">
      <c r="C1921" s="856" t="s">
        <v>1403</v>
      </c>
      <c r="D1921" s="856"/>
      <c r="E1921" s="856"/>
      <c r="F1921" s="856"/>
      <c r="G1921" s="856"/>
      <c r="H1921" s="856"/>
      <c r="I1921" s="856"/>
      <c r="J1921" s="856"/>
      <c r="K1921" s="856"/>
      <c r="L1921" s="856"/>
      <c r="M1921" s="856"/>
      <c r="N1921" s="856"/>
      <c r="O1921" s="856"/>
      <c r="P1921" s="856"/>
      <c r="Q1921" s="856"/>
      <c r="R1921" s="856"/>
      <c r="S1921" s="856"/>
      <c r="T1921" s="857" t="s">
        <v>1384</v>
      </c>
      <c r="U1921" s="858"/>
      <c r="V1921" s="859"/>
      <c r="W1921" s="855">
        <v>0</v>
      </c>
      <c r="X1921" s="855"/>
      <c r="Y1921" s="855"/>
    </row>
    <row r="1922" spans="3:25" ht="30.75" customHeight="1">
      <c r="C1922" s="856" t="s">
        <v>1404</v>
      </c>
      <c r="D1922" s="856"/>
      <c r="E1922" s="856"/>
      <c r="F1922" s="856"/>
      <c r="G1922" s="856"/>
      <c r="H1922" s="856"/>
      <c r="I1922" s="856"/>
      <c r="J1922" s="856"/>
      <c r="K1922" s="856"/>
      <c r="L1922" s="856"/>
      <c r="M1922" s="856"/>
      <c r="N1922" s="856"/>
      <c r="O1922" s="856"/>
      <c r="P1922" s="856"/>
      <c r="Q1922" s="856"/>
      <c r="R1922" s="856"/>
      <c r="S1922" s="856"/>
      <c r="T1922" s="857" t="s">
        <v>1384</v>
      </c>
      <c r="U1922" s="858"/>
      <c r="V1922" s="859"/>
      <c r="W1922" s="855">
        <v>0</v>
      </c>
      <c r="X1922" s="855"/>
      <c r="Y1922" s="855"/>
    </row>
    <row r="1923" spans="3:25" ht="30.75" customHeight="1">
      <c r="C1923" s="856" t="s">
        <v>1405</v>
      </c>
      <c r="D1923" s="856"/>
      <c r="E1923" s="856"/>
      <c r="F1923" s="856"/>
      <c r="G1923" s="856"/>
      <c r="H1923" s="856"/>
      <c r="I1923" s="856"/>
      <c r="J1923" s="856"/>
      <c r="K1923" s="856"/>
      <c r="L1923" s="856"/>
      <c r="M1923" s="856"/>
      <c r="N1923" s="856"/>
      <c r="O1923" s="856"/>
      <c r="P1923" s="856"/>
      <c r="Q1923" s="856"/>
      <c r="R1923" s="856"/>
      <c r="S1923" s="856"/>
      <c r="T1923" s="857" t="s">
        <v>1384</v>
      </c>
      <c r="U1923" s="858"/>
      <c r="V1923" s="859"/>
      <c r="W1923" s="855">
        <v>0</v>
      </c>
      <c r="X1923" s="855"/>
      <c r="Y1923" s="855"/>
    </row>
    <row r="1924" spans="3:25" ht="30.75" customHeight="1">
      <c r="C1924" s="856" t="s">
        <v>1406</v>
      </c>
      <c r="D1924" s="856"/>
      <c r="E1924" s="856"/>
      <c r="F1924" s="856"/>
      <c r="G1924" s="856"/>
      <c r="H1924" s="856"/>
      <c r="I1924" s="856"/>
      <c r="J1924" s="856"/>
      <c r="K1924" s="856"/>
      <c r="L1924" s="856"/>
      <c r="M1924" s="856"/>
      <c r="N1924" s="856"/>
      <c r="O1924" s="856"/>
      <c r="P1924" s="856"/>
      <c r="Q1924" s="856"/>
      <c r="R1924" s="856"/>
      <c r="S1924" s="856"/>
      <c r="T1924" s="857" t="s">
        <v>1384</v>
      </c>
      <c r="U1924" s="858"/>
      <c r="V1924" s="859"/>
      <c r="W1924" s="855">
        <v>0</v>
      </c>
      <c r="X1924" s="855"/>
      <c r="Y1924" s="855"/>
    </row>
    <row r="1925" spans="3:25" ht="30.75" customHeight="1">
      <c r="C1925" s="856" t="s">
        <v>1407</v>
      </c>
      <c r="D1925" s="856"/>
      <c r="E1925" s="856"/>
      <c r="F1925" s="856"/>
      <c r="G1925" s="856"/>
      <c r="H1925" s="856"/>
      <c r="I1925" s="856"/>
      <c r="J1925" s="856"/>
      <c r="K1925" s="856"/>
      <c r="L1925" s="856"/>
      <c r="M1925" s="856"/>
      <c r="N1925" s="856"/>
      <c r="O1925" s="856"/>
      <c r="P1925" s="856"/>
      <c r="Q1925" s="856"/>
      <c r="R1925" s="856"/>
      <c r="S1925" s="856"/>
      <c r="T1925" s="857" t="s">
        <v>1384</v>
      </c>
      <c r="U1925" s="858"/>
      <c r="V1925" s="859"/>
      <c r="W1925" s="855">
        <v>0</v>
      </c>
      <c r="X1925" s="855"/>
      <c r="Y1925" s="855"/>
    </row>
    <row r="1926" spans="3:25" ht="30.75" customHeight="1">
      <c r="C1926" s="856" t="s">
        <v>1408</v>
      </c>
      <c r="D1926" s="856"/>
      <c r="E1926" s="856"/>
      <c r="F1926" s="856"/>
      <c r="G1926" s="856"/>
      <c r="H1926" s="856"/>
      <c r="I1926" s="856"/>
      <c r="J1926" s="856"/>
      <c r="K1926" s="856"/>
      <c r="L1926" s="856"/>
      <c r="M1926" s="856"/>
      <c r="N1926" s="856"/>
      <c r="O1926" s="856"/>
      <c r="P1926" s="856"/>
      <c r="Q1926" s="856"/>
      <c r="R1926" s="856"/>
      <c r="S1926" s="856"/>
      <c r="T1926" s="857" t="s">
        <v>1384</v>
      </c>
      <c r="U1926" s="858"/>
      <c r="V1926" s="859"/>
      <c r="W1926" s="855">
        <v>0</v>
      </c>
      <c r="X1926" s="855"/>
      <c r="Y1926" s="855"/>
    </row>
    <row r="1927" spans="3:25" ht="30.75" customHeight="1">
      <c r="C1927" s="856" t="s">
        <v>1409</v>
      </c>
      <c r="D1927" s="856"/>
      <c r="E1927" s="856"/>
      <c r="F1927" s="856"/>
      <c r="G1927" s="856"/>
      <c r="H1927" s="856"/>
      <c r="I1927" s="856"/>
      <c r="J1927" s="856"/>
      <c r="K1927" s="856"/>
      <c r="L1927" s="856"/>
      <c r="M1927" s="856"/>
      <c r="N1927" s="856"/>
      <c r="O1927" s="856"/>
      <c r="P1927" s="856"/>
      <c r="Q1927" s="856"/>
      <c r="R1927" s="856"/>
      <c r="S1927" s="856"/>
      <c r="T1927" s="857" t="s">
        <v>1384</v>
      </c>
      <c r="U1927" s="858"/>
      <c r="V1927" s="859"/>
      <c r="W1927" s="855">
        <v>0</v>
      </c>
      <c r="X1927" s="855"/>
      <c r="Y1927" s="855"/>
    </row>
    <row r="1928" spans="3:25" ht="30.75" customHeight="1">
      <c r="C1928" s="856" t="s">
        <v>1410</v>
      </c>
      <c r="D1928" s="856"/>
      <c r="E1928" s="856"/>
      <c r="F1928" s="856"/>
      <c r="G1928" s="856"/>
      <c r="H1928" s="856"/>
      <c r="I1928" s="856"/>
      <c r="J1928" s="856"/>
      <c r="K1928" s="856"/>
      <c r="L1928" s="856"/>
      <c r="M1928" s="856"/>
      <c r="N1928" s="856"/>
      <c r="O1928" s="856"/>
      <c r="P1928" s="856"/>
      <c r="Q1928" s="856"/>
      <c r="R1928" s="856"/>
      <c r="S1928" s="856"/>
      <c r="T1928" s="857" t="s">
        <v>1384</v>
      </c>
      <c r="U1928" s="858"/>
      <c r="V1928" s="859"/>
      <c r="W1928" s="855">
        <v>0</v>
      </c>
      <c r="X1928" s="855"/>
      <c r="Y1928" s="855"/>
    </row>
    <row r="1929" spans="3:25" ht="16.5" customHeight="1">
      <c r="C1929" s="856" t="s">
        <v>1411</v>
      </c>
      <c r="D1929" s="856"/>
      <c r="E1929" s="856"/>
      <c r="F1929" s="856"/>
      <c r="G1929" s="856"/>
      <c r="H1929" s="856"/>
      <c r="I1929" s="856"/>
      <c r="J1929" s="856"/>
      <c r="K1929" s="856"/>
      <c r="L1929" s="856"/>
      <c r="M1929" s="856"/>
      <c r="N1929" s="856"/>
      <c r="O1929" s="856"/>
      <c r="P1929" s="856"/>
      <c r="Q1929" s="856"/>
      <c r="R1929" s="856"/>
      <c r="S1929" s="856"/>
      <c r="T1929" s="855"/>
      <c r="U1929" s="855"/>
      <c r="V1929" s="855"/>
      <c r="W1929" s="855"/>
      <c r="X1929" s="855"/>
      <c r="Y1929" s="855"/>
    </row>
    <row r="1930" spans="3:25" ht="16.5" customHeight="1">
      <c r="C1930" s="856" t="s">
        <v>1412</v>
      </c>
      <c r="D1930" s="856"/>
      <c r="E1930" s="856"/>
      <c r="F1930" s="856"/>
      <c r="G1930" s="856"/>
      <c r="H1930" s="856"/>
      <c r="I1930" s="856"/>
      <c r="J1930" s="856"/>
      <c r="K1930" s="856"/>
      <c r="L1930" s="856"/>
      <c r="M1930" s="856"/>
      <c r="N1930" s="856"/>
      <c r="O1930" s="856"/>
      <c r="P1930" s="856"/>
      <c r="Q1930" s="856"/>
      <c r="R1930" s="856"/>
      <c r="S1930" s="856"/>
      <c r="T1930" s="855" t="s">
        <v>1389</v>
      </c>
      <c r="U1930" s="855"/>
      <c r="V1930" s="855"/>
      <c r="W1930" s="855"/>
      <c r="X1930" s="855"/>
      <c r="Y1930" s="855"/>
    </row>
    <row r="1931" spans="3:25" ht="16.5" customHeight="1">
      <c r="C1931" s="856" t="s">
        <v>1413</v>
      </c>
      <c r="D1931" s="856"/>
      <c r="E1931" s="856"/>
      <c r="F1931" s="856"/>
      <c r="G1931" s="856"/>
      <c r="H1931" s="856"/>
      <c r="I1931" s="856"/>
      <c r="J1931" s="856"/>
      <c r="K1931" s="856"/>
      <c r="L1931" s="856"/>
      <c r="M1931" s="856"/>
      <c r="N1931" s="856"/>
      <c r="O1931" s="856"/>
      <c r="P1931" s="856"/>
      <c r="Q1931" s="856"/>
      <c r="R1931" s="856"/>
      <c r="S1931" s="856"/>
      <c r="T1931" s="855"/>
      <c r="U1931" s="855"/>
      <c r="V1931" s="855"/>
      <c r="W1931" s="855"/>
      <c r="X1931" s="855"/>
      <c r="Y1931" s="855"/>
    </row>
    <row r="1932" spans="3:25">
      <c r="C1932" s="856" t="s">
        <v>1414</v>
      </c>
      <c r="D1932" s="856"/>
      <c r="E1932" s="856"/>
      <c r="F1932" s="856"/>
      <c r="G1932" s="856"/>
      <c r="H1932" s="856"/>
      <c r="I1932" s="856"/>
      <c r="J1932" s="856"/>
      <c r="K1932" s="856"/>
      <c r="L1932" s="856"/>
      <c r="M1932" s="856"/>
      <c r="N1932" s="856"/>
      <c r="O1932" s="856"/>
      <c r="P1932" s="856"/>
      <c r="Q1932" s="856"/>
      <c r="R1932" s="856"/>
      <c r="S1932" s="856"/>
      <c r="T1932" s="855"/>
      <c r="U1932" s="855"/>
      <c r="V1932" s="855"/>
      <c r="W1932" s="855"/>
      <c r="X1932" s="855"/>
      <c r="Y1932" s="855"/>
    </row>
    <row r="1933" spans="3:25" ht="22.5" customHeight="1">
      <c r="C1933" s="856" t="s">
        <v>1415</v>
      </c>
      <c r="D1933" s="856"/>
      <c r="E1933" s="856"/>
      <c r="F1933" s="856"/>
      <c r="G1933" s="856"/>
      <c r="H1933" s="856"/>
      <c r="I1933" s="856"/>
      <c r="J1933" s="856"/>
      <c r="K1933" s="856"/>
      <c r="L1933" s="856"/>
      <c r="M1933" s="856"/>
      <c r="N1933" s="856"/>
      <c r="O1933" s="856"/>
      <c r="P1933" s="856"/>
      <c r="Q1933" s="856"/>
      <c r="R1933" s="856"/>
      <c r="S1933" s="856"/>
      <c r="T1933" s="855"/>
      <c r="U1933" s="855"/>
      <c r="V1933" s="855"/>
      <c r="W1933" s="855"/>
      <c r="X1933" s="855"/>
      <c r="Y1933" s="855"/>
    </row>
    <row r="1934" spans="3:25" ht="18.75" customHeight="1">
      <c r="C1934" s="856" t="s">
        <v>1416</v>
      </c>
      <c r="D1934" s="856"/>
      <c r="E1934" s="856"/>
      <c r="F1934" s="856"/>
      <c r="G1934" s="856"/>
      <c r="H1934" s="856"/>
      <c r="I1934" s="856"/>
      <c r="J1934" s="856"/>
      <c r="K1934" s="856"/>
      <c r="L1934" s="856"/>
      <c r="M1934" s="856"/>
      <c r="N1934" s="856"/>
      <c r="O1934" s="856"/>
      <c r="P1934" s="856"/>
      <c r="Q1934" s="856"/>
      <c r="R1934" s="856"/>
      <c r="S1934" s="856"/>
      <c r="T1934" s="855"/>
      <c r="U1934" s="855"/>
      <c r="V1934" s="855"/>
      <c r="W1934" s="855"/>
      <c r="X1934" s="855"/>
      <c r="Y1934" s="855"/>
    </row>
    <row r="1935" spans="3:25" ht="6.75" customHeight="1"/>
    <row r="1936" spans="3:25" hidden="1">
      <c r="C1936" s="497" t="s">
        <v>1390</v>
      </c>
    </row>
    <row r="1937" spans="2:25" ht="21" hidden="1" customHeight="1">
      <c r="C1937" s="851" t="s">
        <v>1391</v>
      </c>
      <c r="D1937" s="851"/>
      <c r="E1937" s="851"/>
      <c r="F1937" s="851"/>
      <c r="G1937" s="851"/>
      <c r="H1937" s="851"/>
      <c r="I1937" s="851"/>
      <c r="J1937" s="851"/>
      <c r="K1937" s="851"/>
      <c r="L1937" s="851"/>
      <c r="M1937" s="851"/>
      <c r="N1937" s="851"/>
      <c r="O1937" s="851"/>
      <c r="P1937" s="851"/>
      <c r="Q1937" s="851"/>
      <c r="R1937" s="851"/>
      <c r="S1937" s="851"/>
      <c r="T1937" s="851"/>
      <c r="U1937" s="851"/>
      <c r="V1937" s="851"/>
      <c r="W1937" s="851"/>
      <c r="X1937" s="851"/>
      <c r="Y1937" s="851"/>
    </row>
    <row r="1938" spans="2:25">
      <c r="B1938" s="505"/>
      <c r="C1938" s="496" t="s">
        <v>1392</v>
      </c>
      <c r="D1938" s="505"/>
      <c r="E1938" s="505"/>
      <c r="F1938" s="505"/>
      <c r="G1938" s="505"/>
      <c r="H1938" s="505"/>
      <c r="I1938" s="505"/>
      <c r="J1938" s="505"/>
      <c r="K1938" s="505"/>
      <c r="L1938" s="505"/>
      <c r="M1938" s="505"/>
      <c r="N1938" s="505"/>
      <c r="O1938" s="505"/>
      <c r="P1938" s="505"/>
      <c r="Q1938" s="505"/>
      <c r="R1938" s="505"/>
      <c r="S1938" s="505"/>
      <c r="T1938" s="505"/>
      <c r="U1938" s="505"/>
      <c r="V1938" s="505"/>
      <c r="W1938" s="505"/>
      <c r="X1938" s="505"/>
      <c r="Y1938" s="505"/>
    </row>
    <row r="1939" spans="2:25">
      <c r="B1939" s="505"/>
      <c r="C1939" s="496" t="s">
        <v>1393</v>
      </c>
      <c r="D1939" s="505"/>
      <c r="E1939" s="505"/>
      <c r="F1939" s="505"/>
      <c r="G1939" s="505"/>
      <c r="H1939" s="505"/>
      <c r="I1939" s="505"/>
      <c r="J1939" s="505"/>
      <c r="K1939" s="505"/>
      <c r="L1939" s="505"/>
      <c r="M1939" s="505"/>
      <c r="N1939" s="505"/>
      <c r="O1939" s="505"/>
      <c r="P1939" s="505"/>
      <c r="Q1939" s="505"/>
      <c r="R1939" s="505"/>
      <c r="S1939" s="505"/>
      <c r="T1939" s="505"/>
      <c r="U1939" s="505"/>
      <c r="V1939" s="505"/>
      <c r="W1939" s="505"/>
      <c r="X1939" s="505"/>
      <c r="Y1939" s="505"/>
    </row>
    <row r="1940" spans="2:25">
      <c r="B1940" s="505"/>
      <c r="C1940" s="496" t="s">
        <v>1394</v>
      </c>
      <c r="D1940" s="505"/>
      <c r="E1940" s="505"/>
      <c r="F1940" s="505"/>
      <c r="G1940" s="505"/>
      <c r="H1940" s="505"/>
      <c r="I1940" s="505"/>
      <c r="J1940" s="505"/>
      <c r="K1940" s="505"/>
      <c r="L1940" s="505"/>
      <c r="M1940" s="505"/>
      <c r="N1940" s="505"/>
      <c r="O1940" s="505"/>
      <c r="P1940" s="505"/>
      <c r="Q1940" s="505"/>
      <c r="R1940" s="505"/>
      <c r="S1940" s="505"/>
      <c r="T1940" s="505"/>
      <c r="U1940" s="505"/>
      <c r="V1940" s="505"/>
      <c r="W1940" s="505"/>
      <c r="X1940" s="505"/>
      <c r="Y1940" s="505"/>
    </row>
    <row r="1941" spans="2:25">
      <c r="B1941" s="505"/>
      <c r="C1941" s="850" t="s">
        <v>1395</v>
      </c>
      <c r="D1941" s="850"/>
      <c r="E1941" s="850"/>
      <c r="F1941" s="850"/>
      <c r="G1941" s="850"/>
      <c r="H1941" s="850"/>
      <c r="I1941" s="850"/>
      <c r="J1941" s="850"/>
      <c r="K1941" s="850"/>
      <c r="L1941" s="850"/>
      <c r="M1941" s="850"/>
      <c r="N1941" s="850"/>
      <c r="O1941" s="850"/>
      <c r="P1941" s="850"/>
      <c r="Q1941" s="850"/>
      <c r="R1941" s="850"/>
      <c r="S1941" s="850"/>
      <c r="T1941" s="850"/>
      <c r="U1941" s="850"/>
      <c r="V1941" s="850"/>
      <c r="W1941" s="850"/>
      <c r="X1941" s="850"/>
      <c r="Y1941" s="850"/>
    </row>
    <row r="1942" spans="2:25" ht="37.5" customHeight="1">
      <c r="B1942" s="505"/>
      <c r="C1942" s="841" t="s">
        <v>1396</v>
      </c>
      <c r="D1942" s="841"/>
      <c r="E1942" s="841"/>
      <c r="F1942" s="841"/>
      <c r="G1942" s="841"/>
      <c r="H1942" s="841"/>
      <c r="I1942" s="841"/>
      <c r="J1942" s="841"/>
      <c r="K1942" s="841"/>
      <c r="L1942" s="841"/>
      <c r="M1942" s="841"/>
      <c r="N1942" s="841"/>
      <c r="O1942" s="841"/>
      <c r="P1942" s="841"/>
      <c r="Q1942" s="841"/>
      <c r="R1942" s="841"/>
      <c r="S1942" s="841"/>
      <c r="T1942" s="841"/>
      <c r="U1942" s="841"/>
      <c r="V1942" s="841"/>
      <c r="W1942" s="841"/>
      <c r="X1942" s="841"/>
      <c r="Y1942" s="841"/>
    </row>
    <row r="1943" spans="2:25" ht="10.5" customHeight="1">
      <c r="C1943" s="854"/>
      <c r="D1943" s="854"/>
      <c r="E1943" s="854"/>
      <c r="F1943" s="854"/>
      <c r="G1943" s="854"/>
      <c r="H1943" s="854"/>
      <c r="I1943" s="854"/>
      <c r="J1943" s="854"/>
      <c r="K1943" s="854"/>
      <c r="L1943" s="854"/>
      <c r="M1943" s="854"/>
      <c r="N1943" s="854"/>
      <c r="O1943" s="854"/>
      <c r="P1943" s="854"/>
      <c r="Q1943" s="854"/>
      <c r="R1943" s="854"/>
      <c r="S1943" s="854"/>
      <c r="T1943" s="854"/>
      <c r="U1943" s="854"/>
      <c r="V1943" s="854"/>
      <c r="W1943" s="854"/>
      <c r="X1943" s="854"/>
      <c r="Y1943" s="854"/>
    </row>
    <row r="1945" spans="2:25" ht="33" customHeight="1">
      <c r="C1945" s="852" t="s">
        <v>1258</v>
      </c>
      <c r="D1945" s="852"/>
      <c r="E1945" s="852"/>
      <c r="F1945" s="852"/>
      <c r="G1945" s="852"/>
      <c r="H1945" s="852"/>
      <c r="I1945" s="852"/>
      <c r="J1945" s="852"/>
      <c r="K1945" s="852"/>
      <c r="L1945" s="852"/>
      <c r="M1945" s="852"/>
      <c r="N1945" s="852"/>
      <c r="O1945" s="852"/>
      <c r="P1945" s="852"/>
      <c r="Q1945" s="852"/>
      <c r="R1945" s="852"/>
      <c r="S1945" s="852"/>
      <c r="T1945" s="852" t="s">
        <v>1432</v>
      </c>
      <c r="U1945" s="852"/>
      <c r="V1945" s="852"/>
      <c r="W1945" s="853" t="s">
        <v>1433</v>
      </c>
      <c r="X1945" s="853"/>
      <c r="Y1945" s="853"/>
    </row>
    <row r="1946" spans="2:25" ht="28.5" customHeight="1">
      <c r="C1946" s="794" t="s">
        <v>1434</v>
      </c>
      <c r="D1946" s="794"/>
      <c r="E1946" s="794"/>
      <c r="F1946" s="794"/>
      <c r="G1946" s="794"/>
      <c r="H1946" s="794"/>
      <c r="I1946" s="794"/>
      <c r="J1946" s="794"/>
      <c r="K1946" s="794"/>
      <c r="L1946" s="794"/>
      <c r="M1946" s="794"/>
      <c r="N1946" s="794"/>
      <c r="O1946" s="794"/>
      <c r="P1946" s="794"/>
      <c r="Q1946" s="794"/>
      <c r="R1946" s="794"/>
      <c r="S1946" s="794"/>
      <c r="T1946" s="786"/>
      <c r="U1946" s="786"/>
      <c r="V1946" s="786"/>
      <c r="W1946" s="848"/>
      <c r="X1946" s="848"/>
      <c r="Y1946" s="848"/>
    </row>
    <row r="1947" spans="2:25" ht="30" customHeight="1">
      <c r="C1947" s="807" t="s">
        <v>1435</v>
      </c>
      <c r="D1947" s="807"/>
      <c r="E1947" s="807"/>
      <c r="F1947" s="807"/>
      <c r="G1947" s="807"/>
      <c r="H1947" s="807"/>
      <c r="I1947" s="807"/>
      <c r="J1947" s="807"/>
      <c r="K1947" s="807"/>
      <c r="L1947" s="807"/>
      <c r="M1947" s="807"/>
      <c r="N1947" s="807"/>
      <c r="O1947" s="807"/>
      <c r="P1947" s="807"/>
      <c r="Q1947" s="807"/>
      <c r="R1947" s="807"/>
      <c r="S1947" s="807"/>
      <c r="T1947" s="786" t="s">
        <v>1389</v>
      </c>
      <c r="U1947" s="786"/>
      <c r="V1947" s="786"/>
      <c r="W1947" s="848"/>
      <c r="X1947" s="848"/>
      <c r="Y1947" s="848"/>
    </row>
    <row r="1948" spans="2:25" ht="30" customHeight="1">
      <c r="C1948" s="807" t="s">
        <v>1436</v>
      </c>
      <c r="D1948" s="807"/>
      <c r="E1948" s="807"/>
      <c r="F1948" s="807"/>
      <c r="G1948" s="807"/>
      <c r="H1948" s="807"/>
      <c r="I1948" s="807"/>
      <c r="J1948" s="807"/>
      <c r="K1948" s="807"/>
      <c r="L1948" s="807"/>
      <c r="M1948" s="807"/>
      <c r="N1948" s="807"/>
      <c r="O1948" s="807"/>
      <c r="P1948" s="807"/>
      <c r="Q1948" s="807"/>
      <c r="R1948" s="807"/>
      <c r="S1948" s="807"/>
      <c r="T1948" s="786" t="s">
        <v>1389</v>
      </c>
      <c r="U1948" s="786"/>
      <c r="V1948" s="786"/>
      <c r="W1948" s="848"/>
      <c r="X1948" s="848"/>
      <c r="Y1948" s="848"/>
    </row>
    <row r="1949" spans="2:25" ht="30" customHeight="1">
      <c r="C1949" s="849" t="s">
        <v>1437</v>
      </c>
      <c r="D1949" s="849"/>
      <c r="E1949" s="849"/>
      <c r="F1949" s="849"/>
      <c r="G1949" s="849"/>
      <c r="H1949" s="849"/>
      <c r="I1949" s="849"/>
      <c r="J1949" s="849"/>
      <c r="K1949" s="849"/>
      <c r="L1949" s="849"/>
      <c r="M1949" s="849"/>
      <c r="N1949" s="849"/>
      <c r="O1949" s="849"/>
      <c r="P1949" s="849"/>
      <c r="Q1949" s="849"/>
      <c r="R1949" s="849"/>
      <c r="S1949" s="849"/>
      <c r="T1949" s="786">
        <v>0</v>
      </c>
      <c r="U1949" s="786"/>
      <c r="V1949" s="786"/>
      <c r="W1949" s="848"/>
      <c r="X1949" s="848"/>
      <c r="Y1949" s="848"/>
    </row>
    <row r="1950" spans="2:25" ht="30" customHeight="1">
      <c r="C1950" s="807" t="s">
        <v>1438</v>
      </c>
      <c r="D1950" s="807"/>
      <c r="E1950" s="807"/>
      <c r="F1950" s="807"/>
      <c r="G1950" s="807"/>
      <c r="H1950" s="807"/>
      <c r="I1950" s="807"/>
      <c r="J1950" s="807"/>
      <c r="K1950" s="807"/>
      <c r="L1950" s="807"/>
      <c r="M1950" s="807"/>
      <c r="N1950" s="807"/>
      <c r="O1950" s="807"/>
      <c r="P1950" s="807"/>
      <c r="Q1950" s="807"/>
      <c r="R1950" s="807"/>
      <c r="S1950" s="807"/>
      <c r="T1950" s="786" t="s">
        <v>1389</v>
      </c>
      <c r="U1950" s="786"/>
      <c r="V1950" s="786"/>
      <c r="W1950" s="848"/>
      <c r="X1950" s="848"/>
      <c r="Y1950" s="848"/>
    </row>
    <row r="1951" spans="2:25" ht="30" customHeight="1">
      <c r="C1951" s="807" t="s">
        <v>1439</v>
      </c>
      <c r="D1951" s="807"/>
      <c r="E1951" s="807"/>
      <c r="F1951" s="807"/>
      <c r="G1951" s="807"/>
      <c r="H1951" s="807"/>
      <c r="I1951" s="807"/>
      <c r="J1951" s="807"/>
      <c r="K1951" s="807"/>
      <c r="L1951" s="807"/>
      <c r="M1951" s="807"/>
      <c r="N1951" s="807"/>
      <c r="O1951" s="807"/>
      <c r="P1951" s="807"/>
      <c r="Q1951" s="807"/>
      <c r="R1951" s="807"/>
      <c r="S1951" s="807"/>
      <c r="T1951" s="786" t="s">
        <v>1389</v>
      </c>
      <c r="U1951" s="786"/>
      <c r="V1951" s="786"/>
      <c r="W1951" s="848" t="s">
        <v>1541</v>
      </c>
      <c r="X1951" s="848"/>
      <c r="Y1951" s="848"/>
    </row>
    <row r="1952" spans="2:25" ht="30" customHeight="1">
      <c r="C1952" s="807" t="s">
        <v>1440</v>
      </c>
      <c r="D1952" s="807"/>
      <c r="E1952" s="807"/>
      <c r="F1952" s="807"/>
      <c r="G1952" s="807"/>
      <c r="H1952" s="807"/>
      <c r="I1952" s="807"/>
      <c r="J1952" s="807"/>
      <c r="K1952" s="807"/>
      <c r="L1952" s="807"/>
      <c r="M1952" s="807"/>
      <c r="N1952" s="807"/>
      <c r="O1952" s="807"/>
      <c r="P1952" s="807"/>
      <c r="Q1952" s="807"/>
      <c r="R1952" s="807"/>
      <c r="S1952" s="807"/>
      <c r="T1952" s="786" t="s">
        <v>1389</v>
      </c>
      <c r="U1952" s="786"/>
      <c r="V1952" s="786"/>
      <c r="W1952" s="848"/>
      <c r="X1952" s="848"/>
      <c r="Y1952" s="848"/>
    </row>
    <row r="1953" spans="2:25" ht="30" customHeight="1">
      <c r="C1953" s="849" t="s">
        <v>1441</v>
      </c>
      <c r="D1953" s="849"/>
      <c r="E1953" s="849"/>
      <c r="F1953" s="849"/>
      <c r="G1953" s="849"/>
      <c r="H1953" s="849"/>
      <c r="I1953" s="849"/>
      <c r="J1953" s="849"/>
      <c r="K1953" s="849"/>
      <c r="L1953" s="849"/>
      <c r="M1953" s="849"/>
      <c r="N1953" s="849"/>
      <c r="O1953" s="849"/>
      <c r="P1953" s="849"/>
      <c r="Q1953" s="849"/>
      <c r="R1953" s="849"/>
      <c r="S1953" s="849"/>
      <c r="T1953" s="786"/>
      <c r="U1953" s="786"/>
      <c r="V1953" s="786"/>
      <c r="W1953" s="848"/>
      <c r="X1953" s="848"/>
      <c r="Y1953" s="848"/>
    </row>
    <row r="1954" spans="2:25" ht="30" customHeight="1">
      <c r="C1954" s="807" t="s">
        <v>1442</v>
      </c>
      <c r="D1954" s="807"/>
      <c r="E1954" s="807"/>
      <c r="F1954" s="807"/>
      <c r="G1954" s="807"/>
      <c r="H1954" s="807"/>
      <c r="I1954" s="807"/>
      <c r="J1954" s="807"/>
      <c r="K1954" s="807"/>
      <c r="L1954" s="807"/>
      <c r="M1954" s="807"/>
      <c r="N1954" s="807"/>
      <c r="O1954" s="807"/>
      <c r="P1954" s="807"/>
      <c r="Q1954" s="807"/>
      <c r="R1954" s="807"/>
      <c r="S1954" s="807"/>
      <c r="T1954" s="786" t="s">
        <v>1389</v>
      </c>
      <c r="U1954" s="786"/>
      <c r="V1954" s="786"/>
      <c r="W1954" s="848" t="s">
        <v>1542</v>
      </c>
      <c r="X1954" s="848"/>
      <c r="Y1954" s="848"/>
    </row>
    <row r="1955" spans="2:25" ht="30" customHeight="1">
      <c r="C1955" s="807" t="s">
        <v>1443</v>
      </c>
      <c r="D1955" s="807"/>
      <c r="E1955" s="807"/>
      <c r="F1955" s="807"/>
      <c r="G1955" s="807"/>
      <c r="H1955" s="807"/>
      <c r="I1955" s="807"/>
      <c r="J1955" s="807"/>
      <c r="K1955" s="807"/>
      <c r="L1955" s="807"/>
      <c r="M1955" s="807"/>
      <c r="N1955" s="807"/>
      <c r="O1955" s="807"/>
      <c r="P1955" s="807"/>
      <c r="Q1955" s="807"/>
      <c r="R1955" s="807"/>
      <c r="S1955" s="807"/>
      <c r="T1955" s="786" t="s">
        <v>1389</v>
      </c>
      <c r="U1955" s="786"/>
      <c r="V1955" s="786"/>
      <c r="W1955" s="848" t="s">
        <v>1542</v>
      </c>
      <c r="X1955" s="848"/>
      <c r="Y1955" s="848"/>
    </row>
    <row r="1956" spans="2:25" ht="30" customHeight="1">
      <c r="C1956" s="807" t="s">
        <v>1444</v>
      </c>
      <c r="D1956" s="807"/>
      <c r="E1956" s="807"/>
      <c r="F1956" s="807"/>
      <c r="G1956" s="807"/>
      <c r="H1956" s="807"/>
      <c r="I1956" s="807"/>
      <c r="J1956" s="807"/>
      <c r="K1956" s="807"/>
      <c r="L1956" s="807"/>
      <c r="M1956" s="807"/>
      <c r="N1956" s="807"/>
      <c r="O1956" s="807"/>
      <c r="P1956" s="807"/>
      <c r="Q1956" s="807"/>
      <c r="R1956" s="807"/>
      <c r="S1956" s="807"/>
      <c r="T1956" s="786" t="s">
        <v>1389</v>
      </c>
      <c r="U1956" s="786"/>
      <c r="V1956" s="786"/>
      <c r="W1956" s="848" t="s">
        <v>1543</v>
      </c>
      <c r="X1956" s="848"/>
      <c r="Y1956" s="848"/>
    </row>
    <row r="1957" spans="2:25">
      <c r="C1957" s="786"/>
      <c r="D1957" s="786"/>
      <c r="E1957" s="786"/>
      <c r="F1957" s="786"/>
      <c r="G1957" s="786"/>
      <c r="H1957" s="786"/>
      <c r="I1957" s="786"/>
      <c r="J1957" s="786"/>
      <c r="K1957" s="786"/>
      <c r="L1957" s="786"/>
      <c r="M1957" s="786"/>
      <c r="N1957" s="786"/>
      <c r="O1957" s="786"/>
      <c r="P1957" s="786"/>
      <c r="Q1957" s="786"/>
      <c r="R1957" s="786"/>
      <c r="S1957" s="786"/>
      <c r="T1957" s="786"/>
      <c r="U1957" s="786"/>
      <c r="V1957" s="786"/>
      <c r="W1957" s="848"/>
      <c r="X1957" s="848"/>
      <c r="Y1957" s="848"/>
    </row>
    <row r="1959" spans="2:25">
      <c r="B1959" s="5" t="s">
        <v>1445</v>
      </c>
    </row>
    <row r="1961" spans="2:25">
      <c r="B1961" s="476" t="e">
        <f>+[0]!_Hlk74071481</f>
        <v>#REF!</v>
      </c>
      <c r="C1961" s="845" t="e">
        <f>+#REF!</f>
        <v>#REF!</v>
      </c>
      <c r="D1961" s="845"/>
      <c r="E1961" s="845"/>
      <c r="F1961" s="845"/>
      <c r="G1961" s="845"/>
      <c r="H1961" s="845"/>
      <c r="I1961" s="845"/>
      <c r="J1961" s="845"/>
      <c r="K1961" s="845"/>
      <c r="L1961" s="845"/>
      <c r="M1961" s="845"/>
      <c r="N1961" s="845"/>
      <c r="O1961" s="845"/>
      <c r="P1961" s="845"/>
      <c r="Q1961" s="845"/>
      <c r="R1961" s="845"/>
      <c r="S1961" s="845"/>
      <c r="T1961" s="845" t="e">
        <f>+#REF!</f>
        <v>#REF!</v>
      </c>
      <c r="U1961" s="845"/>
      <c r="V1961" s="845"/>
      <c r="W1961" s="845" t="e">
        <f>+#REF!</f>
        <v>#REF!</v>
      </c>
      <c r="X1961" s="845"/>
      <c r="Y1961" s="845"/>
    </row>
    <row r="1962" spans="2:25" ht="20.25" customHeight="1">
      <c r="B1962" s="837" t="s">
        <v>1447</v>
      </c>
      <c r="C1962" s="838"/>
      <c r="D1962" s="838"/>
      <c r="E1962" s="838"/>
      <c r="F1962" s="838"/>
      <c r="G1962" s="838"/>
      <c r="H1962" s="838"/>
      <c r="I1962" s="838"/>
      <c r="J1962" s="838"/>
      <c r="K1962" s="838"/>
      <c r="L1962" s="838"/>
      <c r="M1962" s="838"/>
      <c r="N1962" s="838"/>
      <c r="O1962" s="838"/>
      <c r="P1962" s="838"/>
      <c r="Q1962" s="838"/>
      <c r="R1962" s="838"/>
      <c r="S1962" s="838"/>
      <c r="T1962" s="838"/>
      <c r="U1962" s="838"/>
      <c r="V1962" s="838"/>
      <c r="W1962" s="838"/>
      <c r="X1962" s="838"/>
      <c r="Y1962" s="839"/>
    </row>
    <row r="1963" spans="2:25" ht="20.25" customHeight="1">
      <c r="B1963" s="9" t="e">
        <f>+#REF!</f>
        <v>#REF!</v>
      </c>
      <c r="C1963" s="788" t="e">
        <f>+#REF!</f>
        <v>#REF!</v>
      </c>
      <c r="D1963" s="788"/>
      <c r="E1963" s="788"/>
      <c r="F1963" s="788"/>
      <c r="G1963" s="788"/>
      <c r="H1963" s="788"/>
      <c r="I1963" s="788"/>
      <c r="J1963" s="788"/>
      <c r="K1963" s="788"/>
      <c r="L1963" s="788"/>
      <c r="M1963" s="788"/>
      <c r="N1963" s="788"/>
      <c r="O1963" s="788"/>
      <c r="P1963" s="788"/>
      <c r="Q1963" s="788"/>
      <c r="R1963" s="788"/>
      <c r="S1963" s="788"/>
      <c r="T1963" s="786" t="e">
        <f>+#REF!</f>
        <v>#REF!</v>
      </c>
      <c r="U1963" s="786"/>
      <c r="V1963" s="786"/>
      <c r="W1963" s="786">
        <v>2500</v>
      </c>
      <c r="X1963" s="786"/>
      <c r="Y1963" s="786"/>
    </row>
    <row r="1964" spans="2:25" ht="20.25" customHeight="1">
      <c r="B1964" s="9" t="e">
        <f>+#REF!</f>
        <v>#REF!</v>
      </c>
      <c r="C1964" s="788" t="e">
        <f>+#REF!</f>
        <v>#REF!</v>
      </c>
      <c r="D1964" s="788"/>
      <c r="E1964" s="788"/>
      <c r="F1964" s="788"/>
      <c r="G1964" s="788"/>
      <c r="H1964" s="788"/>
      <c r="I1964" s="788"/>
      <c r="J1964" s="788"/>
      <c r="K1964" s="788"/>
      <c r="L1964" s="788"/>
      <c r="M1964" s="788"/>
      <c r="N1964" s="788"/>
      <c r="O1964" s="788"/>
      <c r="P1964" s="788"/>
      <c r="Q1964" s="788"/>
      <c r="R1964" s="788"/>
      <c r="S1964" s="788"/>
      <c r="T1964" s="846" t="e">
        <f>+#REF!</f>
        <v>#REF!</v>
      </c>
      <c r="U1964" s="846"/>
      <c r="V1964" s="846"/>
      <c r="W1964" s="846" t="e">
        <f>+#REF!</f>
        <v>#REF!</v>
      </c>
      <c r="X1964" s="846"/>
      <c r="Y1964" s="846"/>
    </row>
    <row r="1965" spans="2:25" ht="20.25" customHeight="1">
      <c r="B1965" s="9" t="e">
        <f>+#REF!</f>
        <v>#REF!</v>
      </c>
      <c r="C1965" s="788" t="e">
        <f>+#REF!</f>
        <v>#REF!</v>
      </c>
      <c r="D1965" s="788"/>
      <c r="E1965" s="788"/>
      <c r="F1965" s="788"/>
      <c r="G1965" s="788"/>
      <c r="H1965" s="788"/>
      <c r="I1965" s="788"/>
      <c r="J1965" s="788"/>
      <c r="K1965" s="788"/>
      <c r="L1965" s="788"/>
      <c r="M1965" s="788"/>
      <c r="N1965" s="788"/>
      <c r="O1965" s="788"/>
      <c r="P1965" s="788"/>
      <c r="Q1965" s="788"/>
      <c r="R1965" s="788"/>
      <c r="S1965" s="788"/>
      <c r="T1965" s="846" t="e">
        <f>+#REF!</f>
        <v>#REF!</v>
      </c>
      <c r="U1965" s="846"/>
      <c r="V1965" s="846"/>
      <c r="W1965" s="846" t="e">
        <f>+#REF!</f>
        <v>#REF!</v>
      </c>
      <c r="X1965" s="846"/>
      <c r="Y1965" s="846"/>
    </row>
    <row r="1966" spans="2:25" ht="20.25" customHeight="1">
      <c r="B1966" s="9" t="e">
        <f>+#REF!</f>
        <v>#REF!</v>
      </c>
      <c r="C1966" s="788" t="e">
        <f>+#REF!</f>
        <v>#REF!</v>
      </c>
      <c r="D1966" s="788"/>
      <c r="E1966" s="788"/>
      <c r="F1966" s="788"/>
      <c r="G1966" s="788"/>
      <c r="H1966" s="788"/>
      <c r="I1966" s="788"/>
      <c r="J1966" s="788"/>
      <c r="K1966" s="788"/>
      <c r="L1966" s="788"/>
      <c r="M1966" s="788"/>
      <c r="N1966" s="788"/>
      <c r="O1966" s="788"/>
      <c r="P1966" s="788"/>
      <c r="Q1966" s="788"/>
      <c r="R1966" s="788"/>
      <c r="S1966" s="788"/>
      <c r="T1966" s="846" t="e">
        <f>+#REF!</f>
        <v>#REF!</v>
      </c>
      <c r="U1966" s="846"/>
      <c r="V1966" s="846"/>
      <c r="W1966" s="846" t="e">
        <f>+#REF!</f>
        <v>#REF!</v>
      </c>
      <c r="X1966" s="846"/>
      <c r="Y1966" s="846"/>
    </row>
    <row r="1967" spans="2:25" ht="20.25" customHeight="1">
      <c r="B1967" s="9" t="e">
        <f>+#REF!</f>
        <v>#REF!</v>
      </c>
      <c r="C1967" s="788" t="e">
        <f>+#REF!</f>
        <v>#REF!</v>
      </c>
      <c r="D1967" s="788"/>
      <c r="E1967" s="788"/>
      <c r="F1967" s="788"/>
      <c r="G1967" s="788"/>
      <c r="H1967" s="788"/>
      <c r="I1967" s="788"/>
      <c r="J1967" s="788"/>
      <c r="K1967" s="788"/>
      <c r="L1967" s="788"/>
      <c r="M1967" s="788"/>
      <c r="N1967" s="788"/>
      <c r="O1967" s="788"/>
      <c r="P1967" s="788"/>
      <c r="Q1967" s="788"/>
      <c r="R1967" s="788"/>
      <c r="S1967" s="788"/>
      <c r="T1967" s="846" t="e">
        <f>+#REF!</f>
        <v>#REF!</v>
      </c>
      <c r="U1967" s="846"/>
      <c r="V1967" s="846"/>
      <c r="W1967" s="846" t="e">
        <f>+#REF!</f>
        <v>#REF!</v>
      </c>
      <c r="X1967" s="846"/>
      <c r="Y1967" s="846"/>
    </row>
    <row r="1968" spans="2:25" ht="20.25" customHeight="1">
      <c r="B1968" s="9" t="e">
        <f>+#REF!</f>
        <v>#REF!</v>
      </c>
      <c r="C1968" s="788" t="e">
        <f>+#REF!</f>
        <v>#REF!</v>
      </c>
      <c r="D1968" s="788"/>
      <c r="E1968" s="788"/>
      <c r="F1968" s="788"/>
      <c r="G1968" s="788"/>
      <c r="H1968" s="788"/>
      <c r="I1968" s="788"/>
      <c r="J1968" s="788"/>
      <c r="K1968" s="788"/>
      <c r="L1968" s="788"/>
      <c r="M1968" s="788"/>
      <c r="N1968" s="788"/>
      <c r="O1968" s="788"/>
      <c r="P1968" s="788"/>
      <c r="Q1968" s="788"/>
      <c r="R1968" s="788"/>
      <c r="S1968" s="788"/>
      <c r="T1968" s="846" t="e">
        <f>+#REF!</f>
        <v>#REF!</v>
      </c>
      <c r="U1968" s="846"/>
      <c r="V1968" s="846"/>
      <c r="W1968" s="846" t="e">
        <f>+#REF!</f>
        <v>#REF!</v>
      </c>
      <c r="X1968" s="846"/>
      <c r="Y1968" s="846"/>
    </row>
    <row r="1969" spans="2:25" ht="20.25" customHeight="1">
      <c r="B1969" s="9" t="e">
        <f>+#REF!</f>
        <v>#REF!</v>
      </c>
      <c r="C1969" s="788" t="e">
        <f>+#REF!</f>
        <v>#REF!</v>
      </c>
      <c r="D1969" s="788"/>
      <c r="E1969" s="788"/>
      <c r="F1969" s="788"/>
      <c r="G1969" s="788"/>
      <c r="H1969" s="788"/>
      <c r="I1969" s="788"/>
      <c r="J1969" s="788"/>
      <c r="K1969" s="788"/>
      <c r="L1969" s="788"/>
      <c r="M1969" s="788"/>
      <c r="N1969" s="788"/>
      <c r="O1969" s="788"/>
      <c r="P1969" s="788"/>
      <c r="Q1969" s="788"/>
      <c r="R1969" s="788"/>
      <c r="S1969" s="788"/>
      <c r="T1969" s="846" t="e">
        <f>+#REF!</f>
        <v>#REF!</v>
      </c>
      <c r="U1969" s="846"/>
      <c r="V1969" s="846"/>
      <c r="W1969" s="846" t="e">
        <f>+#REF!</f>
        <v>#REF!</v>
      </c>
      <c r="X1969" s="846"/>
      <c r="Y1969" s="846"/>
    </row>
    <row r="1970" spans="2:25" ht="20.25" customHeight="1">
      <c r="B1970" s="9" t="e">
        <f>+#REF!</f>
        <v>#REF!</v>
      </c>
      <c r="C1970" s="788" t="e">
        <f>+#REF!</f>
        <v>#REF!</v>
      </c>
      <c r="D1970" s="788"/>
      <c r="E1970" s="788"/>
      <c r="F1970" s="788"/>
      <c r="G1970" s="788"/>
      <c r="H1970" s="788"/>
      <c r="I1970" s="788"/>
      <c r="J1970" s="788"/>
      <c r="K1970" s="788"/>
      <c r="L1970" s="788"/>
      <c r="M1970" s="788"/>
      <c r="N1970" s="788"/>
      <c r="O1970" s="788"/>
      <c r="P1970" s="788"/>
      <c r="Q1970" s="788"/>
      <c r="R1970" s="788"/>
      <c r="S1970" s="788"/>
      <c r="T1970" s="846" t="e">
        <f>+#REF!</f>
        <v>#REF!</v>
      </c>
      <c r="U1970" s="846"/>
      <c r="V1970" s="846"/>
      <c r="W1970" s="846" t="e">
        <f>+#REF!</f>
        <v>#REF!</v>
      </c>
      <c r="X1970" s="846"/>
      <c r="Y1970" s="846"/>
    </row>
    <row r="1971" spans="2:25" ht="20.25" customHeight="1">
      <c r="B1971" s="9" t="e">
        <f>+#REF!</f>
        <v>#REF!</v>
      </c>
      <c r="C1971" s="788" t="e">
        <f>+#REF!</f>
        <v>#REF!</v>
      </c>
      <c r="D1971" s="788"/>
      <c r="E1971" s="788"/>
      <c r="F1971" s="788"/>
      <c r="G1971" s="788"/>
      <c r="H1971" s="788"/>
      <c r="I1971" s="788"/>
      <c r="J1971" s="788"/>
      <c r="K1971" s="788"/>
      <c r="L1971" s="788"/>
      <c r="M1971" s="788"/>
      <c r="N1971" s="788"/>
      <c r="O1971" s="788"/>
      <c r="P1971" s="788"/>
      <c r="Q1971" s="788"/>
      <c r="R1971" s="788"/>
      <c r="S1971" s="788"/>
      <c r="T1971" s="846">
        <v>0.15</v>
      </c>
      <c r="U1971" s="846"/>
      <c r="V1971" s="846"/>
      <c r="W1971" s="846" t="e">
        <f>+#REF!</f>
        <v>#REF!</v>
      </c>
      <c r="X1971" s="846"/>
      <c r="Y1971" s="846"/>
    </row>
    <row r="1972" spans="2:25">
      <c r="B1972" s="468"/>
      <c r="C1972" s="466"/>
      <c r="D1972" s="466"/>
      <c r="E1972" s="466"/>
      <c r="F1972" s="466"/>
      <c r="G1972" s="466"/>
      <c r="H1972" s="466"/>
      <c r="I1972" s="466"/>
      <c r="J1972" s="466"/>
      <c r="K1972" s="466"/>
      <c r="L1972" s="466"/>
      <c r="M1972" s="466"/>
      <c r="N1972" s="466"/>
      <c r="O1972" s="466"/>
      <c r="P1972" s="466"/>
      <c r="Q1972" s="466"/>
      <c r="R1972" s="466"/>
      <c r="S1972" s="466"/>
      <c r="T1972" s="501"/>
      <c r="U1972" s="501"/>
      <c r="V1972" s="501"/>
      <c r="W1972" s="501"/>
      <c r="X1972" s="501"/>
      <c r="Y1972" s="501"/>
    </row>
    <row r="1973" spans="2:25">
      <c r="C1973" s="448"/>
      <c r="D1973" s="448"/>
      <c r="E1973" s="448"/>
      <c r="F1973" s="448"/>
      <c r="G1973" s="448"/>
      <c r="H1973" s="448"/>
      <c r="I1973" s="448"/>
      <c r="J1973" s="448"/>
      <c r="K1973" s="448"/>
      <c r="L1973" s="448"/>
      <c r="M1973" s="448"/>
      <c r="N1973" s="448"/>
      <c r="O1973" s="448"/>
      <c r="P1973" s="448"/>
      <c r="Q1973" s="448"/>
      <c r="R1973" s="448"/>
      <c r="S1973" s="448"/>
      <c r="T1973" s="12"/>
      <c r="U1973" s="12"/>
      <c r="V1973" s="12"/>
      <c r="W1973" s="12"/>
      <c r="X1973" s="12"/>
      <c r="Y1973" s="12"/>
    </row>
    <row r="1974" spans="2:25">
      <c r="C1974" s="448"/>
      <c r="D1974" s="448"/>
      <c r="E1974" s="448"/>
      <c r="F1974" s="448"/>
      <c r="G1974" s="448"/>
      <c r="H1974" s="448"/>
      <c r="I1974" s="448"/>
      <c r="J1974" s="448"/>
      <c r="K1974" s="448"/>
      <c r="L1974" s="448"/>
      <c r="M1974" s="448"/>
      <c r="N1974" s="448"/>
      <c r="O1974" s="448"/>
      <c r="P1974" s="448"/>
      <c r="Q1974" s="448"/>
      <c r="R1974" s="448"/>
      <c r="S1974" s="448"/>
      <c r="T1974" s="12"/>
      <c r="U1974" s="12"/>
      <c r="V1974" s="12"/>
      <c r="W1974" s="12"/>
      <c r="X1974" s="12"/>
      <c r="Y1974" s="12"/>
    </row>
    <row r="1975" spans="2:25">
      <c r="C1975" s="448"/>
      <c r="D1975" s="448"/>
      <c r="E1975" s="448"/>
      <c r="F1975" s="448"/>
      <c r="G1975" s="448"/>
      <c r="H1975" s="448"/>
      <c r="I1975" s="448"/>
      <c r="J1975" s="448"/>
      <c r="K1975" s="448"/>
      <c r="L1975" s="448"/>
      <c r="M1975" s="448"/>
      <c r="N1975" s="448"/>
      <c r="O1975" s="448"/>
      <c r="P1975" s="448"/>
      <c r="Q1975" s="448"/>
      <c r="R1975" s="448"/>
      <c r="S1975" s="448"/>
      <c r="T1975" s="12"/>
      <c r="U1975" s="12"/>
      <c r="V1975" s="12"/>
      <c r="W1975" s="12"/>
      <c r="X1975" s="12"/>
      <c r="Y1975" s="12"/>
    </row>
    <row r="1976" spans="2:25">
      <c r="C1976" s="448"/>
      <c r="D1976" s="448"/>
      <c r="E1976" s="448"/>
      <c r="F1976" s="448"/>
      <c r="G1976" s="448"/>
      <c r="H1976" s="448"/>
      <c r="I1976" s="448"/>
      <c r="J1976" s="448"/>
      <c r="K1976" s="448"/>
      <c r="L1976" s="448"/>
      <c r="M1976" s="448"/>
      <c r="N1976" s="448"/>
      <c r="O1976" s="448"/>
      <c r="P1976" s="448"/>
      <c r="Q1976" s="448"/>
      <c r="R1976" s="448"/>
      <c r="S1976" s="448"/>
      <c r="T1976" s="12"/>
      <c r="U1976" s="12"/>
      <c r="V1976" s="12"/>
      <c r="W1976" s="12"/>
      <c r="X1976" s="12"/>
      <c r="Y1976" s="12"/>
    </row>
    <row r="1977" spans="2:25">
      <c r="C1977" s="448"/>
      <c r="D1977" s="448"/>
      <c r="E1977" s="448"/>
      <c r="F1977" s="448"/>
      <c r="G1977" s="448"/>
      <c r="H1977" s="448"/>
      <c r="I1977" s="448"/>
      <c r="J1977" s="448"/>
      <c r="K1977" s="448"/>
      <c r="L1977" s="448"/>
      <c r="M1977" s="448"/>
      <c r="N1977" s="448"/>
      <c r="O1977" s="448"/>
      <c r="P1977" s="448"/>
      <c r="Q1977" s="448"/>
      <c r="R1977" s="448"/>
      <c r="S1977" s="448"/>
      <c r="T1977" s="12"/>
      <c r="U1977" s="12"/>
      <c r="V1977" s="12"/>
      <c r="W1977" s="12"/>
      <c r="X1977" s="12"/>
      <c r="Y1977" s="12"/>
    </row>
    <row r="1978" spans="2:25">
      <c r="C1978" s="448"/>
      <c r="D1978" s="448"/>
      <c r="E1978" s="448"/>
      <c r="F1978" s="448"/>
      <c r="G1978" s="448"/>
      <c r="H1978" s="448"/>
      <c r="I1978" s="448"/>
      <c r="J1978" s="448"/>
      <c r="K1978" s="448"/>
      <c r="L1978" s="448"/>
      <c r="M1978" s="448"/>
      <c r="N1978" s="448"/>
      <c r="O1978" s="448"/>
      <c r="P1978" s="448"/>
      <c r="Q1978" s="448"/>
      <c r="R1978" s="448"/>
      <c r="S1978" s="448"/>
      <c r="T1978" s="12"/>
      <c r="U1978" s="12"/>
      <c r="V1978" s="12"/>
      <c r="W1978" s="12"/>
      <c r="X1978" s="12"/>
      <c r="Y1978" s="12"/>
    </row>
    <row r="1979" spans="2:25" ht="26.25">
      <c r="B1979" s="847" t="e">
        <f>+#REF!</f>
        <v>#REF!</v>
      </c>
      <c r="C1979" s="847"/>
      <c r="D1979" s="847"/>
      <c r="E1979" s="847"/>
      <c r="F1979" s="847"/>
      <c r="G1979" s="847"/>
      <c r="H1979" s="847"/>
      <c r="I1979" s="847"/>
      <c r="J1979" s="847"/>
      <c r="K1979" s="847"/>
      <c r="L1979" s="847"/>
      <c r="M1979" s="847"/>
      <c r="N1979" s="847"/>
      <c r="O1979" s="847"/>
      <c r="P1979" s="847"/>
      <c r="Q1979" s="847"/>
      <c r="R1979" s="847"/>
      <c r="S1979" s="847"/>
      <c r="T1979" s="729"/>
      <c r="U1979" s="729"/>
      <c r="V1979" s="729"/>
      <c r="W1979" s="729"/>
      <c r="X1979" s="729"/>
      <c r="Y1979" s="729"/>
    </row>
    <row r="1980" spans="2:25" ht="72.75" customHeight="1">
      <c r="B1980" s="844" t="e">
        <f>+#REF!</f>
        <v>#REF!</v>
      </c>
      <c r="C1980" s="844"/>
      <c r="D1980" s="844"/>
      <c r="E1980" s="844"/>
      <c r="F1980" s="844"/>
      <c r="G1980" s="844"/>
      <c r="H1980" s="844"/>
      <c r="I1980" s="844"/>
      <c r="J1980" s="844"/>
      <c r="K1980" s="844"/>
      <c r="L1980" s="844"/>
      <c r="M1980" s="844"/>
      <c r="N1980" s="844"/>
      <c r="O1980" s="844"/>
      <c r="P1980" s="844"/>
      <c r="Q1980" s="844"/>
      <c r="R1980" s="844"/>
      <c r="S1980" s="844"/>
      <c r="T1980" s="844"/>
      <c r="U1980" s="844"/>
      <c r="V1980" s="844"/>
      <c r="W1980" s="844"/>
      <c r="X1980" s="844"/>
      <c r="Y1980" s="844"/>
    </row>
    <row r="1981" spans="2:25">
      <c r="B1981" s="812"/>
      <c r="C1981" s="813"/>
      <c r="D1981" s="813"/>
      <c r="E1981" s="813"/>
      <c r="F1981" s="813"/>
      <c r="G1981" s="813"/>
      <c r="H1981" s="813"/>
      <c r="I1981" s="813"/>
      <c r="J1981" s="813"/>
      <c r="K1981" s="813"/>
      <c r="L1981" s="813"/>
      <c r="M1981" s="813"/>
      <c r="N1981" s="813"/>
      <c r="O1981" s="813"/>
      <c r="P1981" s="813"/>
      <c r="Q1981" s="813"/>
      <c r="R1981" s="813"/>
      <c r="S1981" s="814"/>
      <c r="T1981" s="786"/>
      <c r="U1981" s="786"/>
      <c r="V1981" s="786"/>
      <c r="W1981" s="786"/>
      <c r="X1981" s="786"/>
      <c r="Y1981" s="786"/>
    </row>
    <row r="1982" spans="2:25" ht="30">
      <c r="B1982" s="476" t="s">
        <v>952</v>
      </c>
      <c r="C1982" s="845" t="s">
        <v>1417</v>
      </c>
      <c r="D1982" s="845"/>
      <c r="E1982" s="845"/>
      <c r="F1982" s="845"/>
      <c r="G1982" s="845"/>
      <c r="H1982" s="845"/>
      <c r="I1982" s="845"/>
      <c r="J1982" s="845"/>
      <c r="K1982" s="845"/>
      <c r="L1982" s="845"/>
      <c r="M1982" s="845"/>
      <c r="N1982" s="845"/>
      <c r="O1982" s="845"/>
      <c r="P1982" s="845"/>
      <c r="Q1982" s="845"/>
      <c r="R1982" s="845"/>
      <c r="S1982" s="845"/>
      <c r="T1982" s="845" t="s">
        <v>937</v>
      </c>
      <c r="U1982" s="845"/>
      <c r="V1982" s="845"/>
      <c r="W1982" s="845" t="s">
        <v>1449</v>
      </c>
      <c r="X1982" s="845"/>
      <c r="Y1982" s="845"/>
    </row>
    <row r="1983" spans="2:25">
      <c r="B1983" s="788" t="s">
        <v>1447</v>
      </c>
      <c r="C1983" s="788"/>
      <c r="D1983" s="788"/>
      <c r="E1983" s="788"/>
      <c r="F1983" s="788"/>
      <c r="G1983" s="788"/>
      <c r="H1983" s="788"/>
      <c r="I1983" s="788"/>
      <c r="J1983" s="788"/>
      <c r="K1983" s="788"/>
      <c r="L1983" s="788"/>
      <c r="M1983" s="788"/>
      <c r="N1983" s="788"/>
      <c r="O1983" s="788"/>
      <c r="P1983" s="788"/>
      <c r="Q1983" s="788"/>
      <c r="R1983" s="788"/>
      <c r="S1983" s="788"/>
      <c r="T1983" s="788"/>
      <c r="U1983" s="788"/>
      <c r="V1983" s="788"/>
      <c r="W1983" s="788"/>
      <c r="X1983" s="788"/>
      <c r="Y1983" s="788"/>
    </row>
    <row r="1984" spans="2:25">
      <c r="B1984" s="9">
        <v>1</v>
      </c>
      <c r="C1984" s="788" t="s">
        <v>1450</v>
      </c>
      <c r="D1984" s="788"/>
      <c r="E1984" s="788"/>
      <c r="F1984" s="788"/>
      <c r="G1984" s="788"/>
      <c r="H1984" s="788"/>
      <c r="I1984" s="788"/>
      <c r="J1984" s="788"/>
      <c r="K1984" s="788"/>
      <c r="L1984" s="788"/>
      <c r="M1984" s="788"/>
      <c r="N1984" s="788"/>
      <c r="O1984" s="788"/>
      <c r="P1984" s="788"/>
      <c r="Q1984" s="788"/>
      <c r="R1984" s="788"/>
      <c r="S1984" s="788"/>
      <c r="T1984" s="786" t="s">
        <v>1451</v>
      </c>
      <c r="U1984" s="786"/>
      <c r="V1984" s="786"/>
      <c r="W1984" s="786">
        <v>0</v>
      </c>
      <c r="X1984" s="786"/>
      <c r="Y1984" s="786"/>
    </row>
    <row r="1985" spans="2:25">
      <c r="B1985" s="9">
        <v>2</v>
      </c>
      <c r="C1985" s="788" t="s">
        <v>1418</v>
      </c>
      <c r="D1985" s="788"/>
      <c r="E1985" s="788"/>
      <c r="F1985" s="788"/>
      <c r="G1985" s="788"/>
      <c r="H1985" s="788"/>
      <c r="I1985" s="788"/>
      <c r="J1985" s="788"/>
      <c r="K1985" s="788"/>
      <c r="L1985" s="788"/>
      <c r="M1985" s="788"/>
      <c r="N1985" s="788"/>
      <c r="O1985" s="788"/>
      <c r="P1985" s="788"/>
      <c r="Q1985" s="788"/>
      <c r="R1985" s="788"/>
      <c r="S1985" s="788"/>
      <c r="T1985" s="786" t="s">
        <v>1452</v>
      </c>
      <c r="U1985" s="786"/>
      <c r="V1985" s="786"/>
      <c r="W1985" s="786">
        <v>0</v>
      </c>
      <c r="X1985" s="786"/>
      <c r="Y1985" s="786"/>
    </row>
    <row r="1986" spans="2:25">
      <c r="B1986" s="9">
        <v>3</v>
      </c>
      <c r="C1986" s="788" t="s">
        <v>1419</v>
      </c>
      <c r="D1986" s="788"/>
      <c r="E1986" s="788"/>
      <c r="F1986" s="788"/>
      <c r="G1986" s="788"/>
      <c r="H1986" s="788"/>
      <c r="I1986" s="788"/>
      <c r="J1986" s="788"/>
      <c r="K1986" s="788"/>
      <c r="L1986" s="788"/>
      <c r="M1986" s="788"/>
      <c r="N1986" s="788"/>
      <c r="O1986" s="788"/>
      <c r="P1986" s="788"/>
      <c r="Q1986" s="788"/>
      <c r="R1986" s="788"/>
      <c r="S1986" s="788"/>
      <c r="T1986" s="786" t="s">
        <v>1452</v>
      </c>
      <c r="U1986" s="786"/>
      <c r="V1986" s="786"/>
      <c r="W1986" s="786">
        <v>0</v>
      </c>
      <c r="X1986" s="786"/>
      <c r="Y1986" s="786"/>
    </row>
    <row r="1987" spans="2:25">
      <c r="B1987" s="9">
        <v>4</v>
      </c>
      <c r="C1987" s="788" t="s">
        <v>1420</v>
      </c>
      <c r="D1987" s="788"/>
      <c r="E1987" s="788"/>
      <c r="F1987" s="788"/>
      <c r="G1987" s="788"/>
      <c r="H1987" s="788"/>
      <c r="I1987" s="788"/>
      <c r="J1987" s="788"/>
      <c r="K1987" s="788"/>
      <c r="L1987" s="788"/>
      <c r="M1987" s="788"/>
      <c r="N1987" s="788"/>
      <c r="O1987" s="788"/>
      <c r="P1987" s="788"/>
      <c r="Q1987" s="788"/>
      <c r="R1987" s="788"/>
      <c r="S1987" s="788"/>
      <c r="T1987" s="786" t="s">
        <v>1452</v>
      </c>
      <c r="U1987" s="786"/>
      <c r="V1987" s="786"/>
      <c r="W1987" s="786">
        <v>0</v>
      </c>
      <c r="X1987" s="786"/>
      <c r="Y1987" s="786"/>
    </row>
    <row r="1988" spans="2:25">
      <c r="B1988" s="9">
        <v>5</v>
      </c>
      <c r="C1988" s="788" t="s">
        <v>1453</v>
      </c>
      <c r="D1988" s="788"/>
      <c r="E1988" s="788"/>
      <c r="F1988" s="788"/>
      <c r="G1988" s="788"/>
      <c r="H1988" s="788"/>
      <c r="I1988" s="788"/>
      <c r="J1988" s="788"/>
      <c r="K1988" s="788"/>
      <c r="L1988" s="788"/>
      <c r="M1988" s="788"/>
      <c r="N1988" s="788"/>
      <c r="O1988" s="788"/>
      <c r="P1988" s="788"/>
      <c r="Q1988" s="788"/>
      <c r="R1988" s="788"/>
      <c r="S1988" s="788"/>
      <c r="T1988" s="786" t="s">
        <v>1452</v>
      </c>
      <c r="U1988" s="786"/>
      <c r="V1988" s="786"/>
      <c r="W1988" s="786">
        <v>0</v>
      </c>
      <c r="X1988" s="786"/>
      <c r="Y1988" s="786"/>
    </row>
    <row r="1989" spans="2:25">
      <c r="B1989" s="9">
        <v>6</v>
      </c>
      <c r="C1989" s="788" t="s">
        <v>1454</v>
      </c>
      <c r="D1989" s="788"/>
      <c r="E1989" s="788"/>
      <c r="F1989" s="788"/>
      <c r="G1989" s="788"/>
      <c r="H1989" s="788"/>
      <c r="I1989" s="788"/>
      <c r="J1989" s="788"/>
      <c r="K1989" s="788"/>
      <c r="L1989" s="788"/>
      <c r="M1989" s="788"/>
      <c r="N1989" s="788"/>
      <c r="O1989" s="788"/>
      <c r="P1989" s="788"/>
      <c r="Q1989" s="788"/>
      <c r="R1989" s="788"/>
      <c r="S1989" s="788"/>
      <c r="T1989" s="786" t="s">
        <v>1455</v>
      </c>
      <c r="U1989" s="786"/>
      <c r="V1989" s="786"/>
      <c r="W1989" s="786">
        <v>0</v>
      </c>
      <c r="X1989" s="786"/>
      <c r="Y1989" s="786"/>
    </row>
    <row r="1990" spans="2:25">
      <c r="B1990" s="9">
        <v>7</v>
      </c>
      <c r="C1990" s="788" t="s">
        <v>1421</v>
      </c>
      <c r="D1990" s="788"/>
      <c r="E1990" s="788"/>
      <c r="F1990" s="788"/>
      <c r="G1990" s="788"/>
      <c r="H1990" s="788"/>
      <c r="I1990" s="788"/>
      <c r="J1990" s="788"/>
      <c r="K1990" s="788"/>
      <c r="L1990" s="788"/>
      <c r="M1990" s="788"/>
      <c r="N1990" s="788"/>
      <c r="O1990" s="788"/>
      <c r="P1990" s="788"/>
      <c r="Q1990" s="788"/>
      <c r="R1990" s="788"/>
      <c r="S1990" s="788"/>
      <c r="T1990" s="786" t="s">
        <v>1452</v>
      </c>
      <c r="U1990" s="786"/>
      <c r="V1990" s="786"/>
      <c r="W1990" s="786">
        <v>0</v>
      </c>
      <c r="X1990" s="786"/>
      <c r="Y1990" s="786"/>
    </row>
    <row r="1991" spans="2:25">
      <c r="B1991" s="9">
        <v>8</v>
      </c>
      <c r="C1991" s="788" t="s">
        <v>1422</v>
      </c>
      <c r="D1991" s="788"/>
      <c r="E1991" s="788"/>
      <c r="F1991" s="788"/>
      <c r="G1991" s="788"/>
      <c r="H1991" s="788"/>
      <c r="I1991" s="788"/>
      <c r="J1991" s="788"/>
      <c r="K1991" s="788"/>
      <c r="L1991" s="788"/>
      <c r="M1991" s="788"/>
      <c r="N1991" s="788"/>
      <c r="O1991" s="788"/>
      <c r="P1991" s="788"/>
      <c r="Q1991" s="788"/>
      <c r="R1991" s="788"/>
      <c r="S1991" s="788"/>
      <c r="T1991" s="786" t="s">
        <v>1452</v>
      </c>
      <c r="U1991" s="786"/>
      <c r="V1991" s="786"/>
      <c r="W1991" s="786">
        <v>0</v>
      </c>
      <c r="X1991" s="786"/>
      <c r="Y1991" s="786"/>
    </row>
    <row r="1992" spans="2:25">
      <c r="B1992" s="9">
        <v>9</v>
      </c>
      <c r="C1992" s="788" t="s">
        <v>1423</v>
      </c>
      <c r="D1992" s="788"/>
      <c r="E1992" s="788"/>
      <c r="F1992" s="788"/>
      <c r="G1992" s="788"/>
      <c r="H1992" s="788"/>
      <c r="I1992" s="788"/>
      <c r="J1992" s="788"/>
      <c r="K1992" s="788"/>
      <c r="L1992" s="788"/>
      <c r="M1992" s="788"/>
      <c r="N1992" s="788"/>
      <c r="O1992" s="788"/>
      <c r="P1992" s="788"/>
      <c r="Q1992" s="788"/>
      <c r="R1992" s="788"/>
      <c r="S1992" s="788"/>
      <c r="T1992" s="786" t="s">
        <v>1452</v>
      </c>
      <c r="U1992" s="786"/>
      <c r="V1992" s="786"/>
      <c r="W1992" s="786">
        <v>0</v>
      </c>
      <c r="X1992" s="786"/>
      <c r="Y1992" s="786"/>
    </row>
    <row r="1993" spans="2:25">
      <c r="B1993" s="9">
        <v>10</v>
      </c>
      <c r="C1993" s="788" t="s">
        <v>1456</v>
      </c>
      <c r="D1993" s="788"/>
      <c r="E1993" s="788"/>
      <c r="F1993" s="788"/>
      <c r="G1993" s="788"/>
      <c r="H1993" s="788"/>
      <c r="I1993" s="788"/>
      <c r="J1993" s="788"/>
      <c r="K1993" s="788"/>
      <c r="L1993" s="788"/>
      <c r="M1993" s="788"/>
      <c r="N1993" s="788"/>
      <c r="O1993" s="788"/>
      <c r="P1993" s="788"/>
      <c r="Q1993" s="788"/>
      <c r="R1993" s="788"/>
      <c r="S1993" s="788"/>
      <c r="T1993" s="786" t="s">
        <v>1452</v>
      </c>
      <c r="U1993" s="786"/>
      <c r="V1993" s="786"/>
      <c r="W1993" s="786">
        <v>0</v>
      </c>
      <c r="X1993" s="786"/>
      <c r="Y1993" s="786"/>
    </row>
    <row r="1994" spans="2:25">
      <c r="B1994" s="9">
        <v>11</v>
      </c>
      <c r="C1994" s="788" t="s">
        <v>1457</v>
      </c>
      <c r="D1994" s="788"/>
      <c r="E1994" s="788"/>
      <c r="F1994" s="788"/>
      <c r="G1994" s="788"/>
      <c r="H1994" s="788"/>
      <c r="I1994" s="788"/>
      <c r="J1994" s="788"/>
      <c r="K1994" s="788"/>
      <c r="L1994" s="788"/>
      <c r="M1994" s="788"/>
      <c r="N1994" s="788"/>
      <c r="O1994" s="788"/>
      <c r="P1994" s="788"/>
      <c r="Q1994" s="788"/>
      <c r="R1994" s="788"/>
      <c r="S1994" s="788"/>
      <c r="T1994" s="786" t="s">
        <v>1452</v>
      </c>
      <c r="U1994" s="786"/>
      <c r="V1994" s="786"/>
      <c r="W1994" s="786">
        <v>0</v>
      </c>
      <c r="X1994" s="786"/>
      <c r="Y1994" s="786"/>
    </row>
    <row r="1995" spans="2:25">
      <c r="B1995" s="9">
        <v>12</v>
      </c>
      <c r="C1995" s="788" t="s">
        <v>1458</v>
      </c>
      <c r="D1995" s="788"/>
      <c r="E1995" s="788"/>
      <c r="F1995" s="788"/>
      <c r="G1995" s="788"/>
      <c r="H1995" s="788"/>
      <c r="I1995" s="788"/>
      <c r="J1995" s="788"/>
      <c r="K1995" s="788"/>
      <c r="L1995" s="788"/>
      <c r="M1995" s="788"/>
      <c r="N1995" s="788"/>
      <c r="O1995" s="788"/>
      <c r="P1995" s="788"/>
      <c r="Q1995" s="788"/>
      <c r="R1995" s="788"/>
      <c r="S1995" s="788"/>
      <c r="T1995" s="786" t="s">
        <v>1452</v>
      </c>
      <c r="U1995" s="786"/>
      <c r="V1995" s="786"/>
      <c r="W1995" s="786">
        <v>0</v>
      </c>
      <c r="X1995" s="786"/>
      <c r="Y1995" s="786"/>
    </row>
    <row r="1996" spans="2:25">
      <c r="B1996" s="9">
        <v>13</v>
      </c>
      <c r="C1996" s="788" t="s">
        <v>1424</v>
      </c>
      <c r="D1996" s="788"/>
      <c r="E1996" s="788"/>
      <c r="F1996" s="788"/>
      <c r="G1996" s="788"/>
      <c r="H1996" s="788"/>
      <c r="I1996" s="788"/>
      <c r="J1996" s="788"/>
      <c r="K1996" s="788"/>
      <c r="L1996" s="788"/>
      <c r="M1996" s="788"/>
      <c r="N1996" s="788"/>
      <c r="O1996" s="788"/>
      <c r="P1996" s="788"/>
      <c r="Q1996" s="788"/>
      <c r="R1996" s="788"/>
      <c r="S1996" s="788"/>
      <c r="T1996" s="786" t="s">
        <v>1452</v>
      </c>
      <c r="U1996" s="786"/>
      <c r="V1996" s="786"/>
      <c r="W1996" s="786">
        <v>0</v>
      </c>
      <c r="X1996" s="786"/>
      <c r="Y1996" s="786"/>
    </row>
    <row r="1997" spans="2:25">
      <c r="B1997" s="9">
        <v>14</v>
      </c>
      <c r="C1997" s="788" t="s">
        <v>1459</v>
      </c>
      <c r="D1997" s="788"/>
      <c r="E1997" s="788"/>
      <c r="F1997" s="788"/>
      <c r="G1997" s="788"/>
      <c r="H1997" s="788"/>
      <c r="I1997" s="788"/>
      <c r="J1997" s="788"/>
      <c r="K1997" s="788"/>
      <c r="L1997" s="788"/>
      <c r="M1997" s="788"/>
      <c r="N1997" s="788"/>
      <c r="O1997" s="788"/>
      <c r="P1997" s="788"/>
      <c r="Q1997" s="788"/>
      <c r="R1997" s="788"/>
      <c r="S1997" s="788"/>
      <c r="T1997" s="786" t="s">
        <v>1452</v>
      </c>
      <c r="U1997" s="786"/>
      <c r="V1997" s="786"/>
      <c r="W1997" s="786">
        <v>0</v>
      </c>
      <c r="X1997" s="786"/>
      <c r="Y1997" s="786"/>
    </row>
    <row r="1998" spans="2:25">
      <c r="B1998" s="788" t="s">
        <v>1460</v>
      </c>
      <c r="C1998" s="788"/>
      <c r="D1998" s="788"/>
      <c r="E1998" s="788"/>
      <c r="F1998" s="788"/>
      <c r="G1998" s="788"/>
      <c r="H1998" s="788"/>
      <c r="I1998" s="788"/>
      <c r="J1998" s="788"/>
      <c r="K1998" s="788"/>
      <c r="L1998" s="788"/>
      <c r="M1998" s="788"/>
      <c r="N1998" s="788"/>
      <c r="O1998" s="788"/>
      <c r="P1998" s="788"/>
      <c r="Q1998" s="788"/>
      <c r="R1998" s="788"/>
      <c r="S1998" s="788"/>
      <c r="T1998" s="788"/>
      <c r="U1998" s="788"/>
      <c r="V1998" s="788"/>
      <c r="W1998" s="788"/>
      <c r="X1998" s="788"/>
      <c r="Y1998" s="788"/>
    </row>
    <row r="1999" spans="2:25">
      <c r="B1999" s="9">
        <v>15</v>
      </c>
      <c r="C1999" s="788" t="s">
        <v>1461</v>
      </c>
      <c r="D1999" s="788"/>
      <c r="E1999" s="788"/>
      <c r="F1999" s="788"/>
      <c r="G1999" s="788"/>
      <c r="H1999" s="788"/>
      <c r="I1999" s="788"/>
      <c r="J1999" s="788"/>
      <c r="K1999" s="788"/>
      <c r="L1999" s="788"/>
      <c r="M1999" s="788"/>
      <c r="N1999" s="788"/>
      <c r="O1999" s="788"/>
      <c r="P1999" s="788"/>
      <c r="Q1999" s="788"/>
      <c r="R1999" s="788"/>
      <c r="S1999" s="788"/>
      <c r="T1999" s="786" t="s">
        <v>706</v>
      </c>
      <c r="U1999" s="786"/>
      <c r="V1999" s="786"/>
      <c r="W1999" s="786" t="s">
        <v>1462</v>
      </c>
      <c r="X1999" s="786"/>
      <c r="Y1999" s="786"/>
    </row>
    <row r="2000" spans="2:25">
      <c r="B2000" s="9">
        <v>16</v>
      </c>
      <c r="C2000" s="788" t="s">
        <v>1463</v>
      </c>
      <c r="D2000" s="788"/>
      <c r="E2000" s="788"/>
      <c r="F2000" s="788"/>
      <c r="G2000" s="788"/>
      <c r="H2000" s="788"/>
      <c r="I2000" s="788"/>
      <c r="J2000" s="788"/>
      <c r="K2000" s="788"/>
      <c r="L2000" s="788"/>
      <c r="M2000" s="788"/>
      <c r="N2000" s="788"/>
      <c r="O2000" s="788"/>
      <c r="P2000" s="788"/>
      <c r="Q2000" s="788"/>
      <c r="R2000" s="788"/>
      <c r="S2000" s="788"/>
      <c r="T2000" s="786" t="s">
        <v>1451</v>
      </c>
      <c r="U2000" s="786"/>
      <c r="V2000" s="786"/>
      <c r="W2000" s="786">
        <v>0</v>
      </c>
      <c r="X2000" s="786"/>
      <c r="Y2000" s="786"/>
    </row>
    <row r="2001" spans="2:39">
      <c r="B2001" s="9">
        <v>17</v>
      </c>
      <c r="C2001" s="788" t="s">
        <v>1464</v>
      </c>
      <c r="D2001" s="788"/>
      <c r="E2001" s="788"/>
      <c r="F2001" s="788"/>
      <c r="G2001" s="788"/>
      <c r="H2001" s="788"/>
      <c r="I2001" s="788"/>
      <c r="J2001" s="788"/>
      <c r="K2001" s="788"/>
      <c r="L2001" s="788"/>
      <c r="M2001" s="788"/>
      <c r="N2001" s="788"/>
      <c r="O2001" s="788"/>
      <c r="P2001" s="788"/>
      <c r="Q2001" s="788"/>
      <c r="R2001" s="788"/>
      <c r="S2001" s="788"/>
      <c r="T2001" s="786" t="s">
        <v>706</v>
      </c>
      <c r="U2001" s="786"/>
      <c r="V2001" s="786"/>
      <c r="W2001" s="786" t="s">
        <v>1384</v>
      </c>
      <c r="X2001" s="786"/>
      <c r="Y2001" s="786"/>
    </row>
    <row r="2002" spans="2:39">
      <c r="B2002" s="788" t="s">
        <v>1446</v>
      </c>
      <c r="C2002" s="788"/>
      <c r="D2002" s="788"/>
      <c r="E2002" s="788"/>
      <c r="F2002" s="788"/>
      <c r="G2002" s="788"/>
      <c r="H2002" s="788"/>
      <c r="I2002" s="788"/>
      <c r="J2002" s="788"/>
      <c r="K2002" s="788"/>
      <c r="L2002" s="788"/>
      <c r="M2002" s="788"/>
      <c r="N2002" s="788"/>
      <c r="O2002" s="788"/>
      <c r="P2002" s="788"/>
      <c r="Q2002" s="788"/>
      <c r="R2002" s="788"/>
      <c r="S2002" s="788"/>
      <c r="T2002" s="786"/>
      <c r="U2002" s="786"/>
      <c r="V2002" s="786"/>
      <c r="W2002" s="786"/>
      <c r="X2002" s="786"/>
      <c r="Y2002" s="786"/>
    </row>
    <row r="2003" spans="2:39" ht="68.25" customHeight="1">
      <c r="B2003" s="801" t="s">
        <v>1448</v>
      </c>
      <c r="C2003" s="801"/>
      <c r="D2003" s="801"/>
      <c r="E2003" s="801"/>
      <c r="F2003" s="801"/>
      <c r="G2003" s="801"/>
      <c r="H2003" s="801"/>
      <c r="I2003" s="801"/>
      <c r="J2003" s="801"/>
      <c r="K2003" s="801"/>
      <c r="L2003" s="801"/>
      <c r="M2003" s="801"/>
      <c r="N2003" s="801"/>
      <c r="O2003" s="801"/>
      <c r="P2003" s="801"/>
      <c r="Q2003" s="801"/>
      <c r="R2003" s="801"/>
      <c r="S2003" s="801"/>
      <c r="T2003" s="801"/>
      <c r="U2003" s="801"/>
      <c r="V2003" s="801"/>
      <c r="W2003" s="801"/>
      <c r="X2003" s="801"/>
      <c r="Y2003" s="801"/>
    </row>
    <row r="2004" spans="2:39">
      <c r="B2004" s="499" t="s">
        <v>1425</v>
      </c>
    </row>
    <row r="2005" spans="2:39" s="448" customFormat="1" ht="34.5" customHeight="1">
      <c r="B2005" s="840" t="s">
        <v>1426</v>
      </c>
      <c r="C2005" s="840"/>
      <c r="D2005" s="840"/>
      <c r="E2005" s="840"/>
      <c r="F2005" s="840"/>
      <c r="G2005" s="840"/>
      <c r="H2005" s="840"/>
      <c r="I2005" s="840"/>
      <c r="J2005" s="840"/>
      <c r="K2005" s="840"/>
      <c r="L2005" s="840"/>
      <c r="M2005" s="840"/>
      <c r="N2005" s="840"/>
      <c r="O2005" s="840"/>
      <c r="P2005" s="840"/>
      <c r="Q2005" s="840"/>
      <c r="R2005" s="840"/>
      <c r="S2005" s="840"/>
      <c r="T2005" s="840"/>
      <c r="U2005" s="840"/>
      <c r="V2005" s="840"/>
      <c r="W2005" s="840"/>
      <c r="X2005" s="840"/>
      <c r="Y2005" s="840"/>
    </row>
    <row r="2006" spans="2:39" s="448" customFormat="1" ht="34.5" customHeight="1">
      <c r="B2006" s="840" t="s">
        <v>1427</v>
      </c>
      <c r="C2006" s="840"/>
      <c r="D2006" s="840"/>
      <c r="E2006" s="840"/>
      <c r="F2006" s="840"/>
      <c r="G2006" s="840"/>
      <c r="H2006" s="840"/>
      <c r="I2006" s="840"/>
      <c r="J2006" s="840"/>
      <c r="K2006" s="840"/>
      <c r="L2006" s="840"/>
      <c r="M2006" s="840"/>
      <c r="N2006" s="840"/>
      <c r="O2006" s="840"/>
      <c r="P2006" s="840"/>
      <c r="Q2006" s="840"/>
      <c r="R2006" s="840"/>
      <c r="S2006" s="840"/>
      <c r="T2006" s="840"/>
      <c r="U2006" s="840"/>
      <c r="V2006" s="840"/>
      <c r="W2006" s="840"/>
      <c r="X2006" s="840"/>
      <c r="Y2006" s="840"/>
    </row>
    <row r="2007" spans="2:39" s="448" customFormat="1" ht="34.5" customHeight="1">
      <c r="B2007" s="840" t="s">
        <v>1428</v>
      </c>
      <c r="C2007" s="840"/>
      <c r="D2007" s="840"/>
      <c r="E2007" s="840"/>
      <c r="F2007" s="840"/>
      <c r="G2007" s="840"/>
      <c r="H2007" s="840"/>
      <c r="I2007" s="840"/>
      <c r="J2007" s="840"/>
      <c r="K2007" s="840"/>
      <c r="L2007" s="840"/>
      <c r="M2007" s="840"/>
      <c r="N2007" s="840"/>
      <c r="O2007" s="840"/>
      <c r="P2007" s="840"/>
      <c r="Q2007" s="840"/>
      <c r="R2007" s="840"/>
      <c r="S2007" s="840"/>
      <c r="T2007" s="840"/>
      <c r="U2007" s="840"/>
      <c r="V2007" s="840"/>
      <c r="W2007" s="840"/>
      <c r="X2007" s="840"/>
      <c r="Y2007" s="840"/>
    </row>
    <row r="2008" spans="2:39" s="448" customFormat="1" ht="34.5" customHeight="1">
      <c r="B2008" s="840" t="s">
        <v>1429</v>
      </c>
      <c r="C2008" s="840"/>
      <c r="D2008" s="840"/>
      <c r="E2008" s="840"/>
      <c r="F2008" s="840"/>
      <c r="G2008" s="840"/>
      <c r="H2008" s="840"/>
      <c r="I2008" s="840"/>
      <c r="J2008" s="840"/>
      <c r="K2008" s="840"/>
      <c r="L2008" s="840"/>
      <c r="M2008" s="840"/>
      <c r="N2008" s="840"/>
      <c r="O2008" s="840"/>
      <c r="P2008" s="840"/>
      <c r="Q2008" s="840"/>
      <c r="R2008" s="840"/>
      <c r="S2008" s="840"/>
      <c r="T2008" s="840"/>
      <c r="U2008" s="840"/>
      <c r="V2008" s="840"/>
      <c r="W2008" s="840"/>
      <c r="X2008" s="840"/>
      <c r="Y2008" s="840"/>
    </row>
    <row r="2009" spans="2:39" ht="14.25" customHeight="1">
      <c r="B2009" s="842" t="s">
        <v>1430</v>
      </c>
      <c r="C2009" s="842"/>
      <c r="D2009" s="842"/>
      <c r="E2009" s="842"/>
      <c r="F2009" s="842"/>
      <c r="G2009" s="842"/>
      <c r="H2009" s="842"/>
      <c r="I2009" s="842"/>
      <c r="J2009" s="842"/>
      <c r="K2009" s="842"/>
      <c r="L2009" s="842"/>
      <c r="M2009" s="842"/>
      <c r="N2009" s="842"/>
      <c r="O2009" s="842"/>
      <c r="P2009" s="842"/>
      <c r="Q2009" s="842"/>
      <c r="R2009" s="842"/>
      <c r="S2009" s="842"/>
      <c r="T2009" s="842"/>
      <c r="U2009" s="842"/>
      <c r="V2009" s="842"/>
      <c r="W2009" s="842"/>
      <c r="X2009" s="842"/>
      <c r="Y2009" s="842"/>
    </row>
    <row r="2012" spans="2:39" ht="65.25" customHeight="1">
      <c r="B2012" s="841" t="s">
        <v>1431</v>
      </c>
      <c r="C2012" s="841"/>
      <c r="D2012" s="841"/>
      <c r="E2012" s="841"/>
      <c r="F2012" s="841"/>
      <c r="G2012" s="841"/>
      <c r="H2012" s="841"/>
      <c r="I2012" s="841"/>
      <c r="J2012" s="841"/>
      <c r="K2012" s="841"/>
      <c r="L2012" s="841"/>
      <c r="M2012" s="841"/>
      <c r="N2012" s="841"/>
      <c r="O2012" s="841"/>
      <c r="P2012" s="841"/>
      <c r="Q2012" s="841"/>
      <c r="R2012" s="841"/>
      <c r="S2012" s="841"/>
      <c r="T2012" s="841"/>
      <c r="U2012" s="841"/>
      <c r="V2012" s="841"/>
      <c r="W2012" s="841"/>
      <c r="X2012" s="841"/>
      <c r="Y2012" s="841"/>
    </row>
    <row r="2013" spans="2:39" ht="32.25" hidden="1" customHeight="1">
      <c r="B2013" s="498"/>
      <c r="C2013" s="498"/>
      <c r="D2013" s="498"/>
      <c r="E2013" s="498"/>
      <c r="F2013" s="498"/>
      <c r="G2013" s="498"/>
      <c r="H2013" s="498"/>
      <c r="I2013" s="498"/>
      <c r="J2013" s="498"/>
      <c r="K2013" s="498"/>
      <c r="L2013" s="498"/>
      <c r="M2013" s="498"/>
      <c r="N2013" s="498"/>
      <c r="O2013" s="498"/>
      <c r="P2013" s="498"/>
      <c r="Q2013" s="498"/>
      <c r="R2013" s="498"/>
      <c r="S2013" s="498"/>
      <c r="T2013" s="498"/>
      <c r="U2013" s="498"/>
      <c r="V2013" s="498"/>
      <c r="W2013" s="498"/>
      <c r="X2013" s="498"/>
      <c r="Y2013" s="498"/>
    </row>
    <row r="2014" spans="2:39" hidden="1">
      <c r="B2014" t="s">
        <v>1465</v>
      </c>
    </row>
    <row r="2015" spans="2:39" hidden="1">
      <c r="B2015" s="843" t="s">
        <v>1469</v>
      </c>
      <c r="C2015" s="843"/>
      <c r="D2015" s="843"/>
      <c r="E2015" s="843"/>
      <c r="F2015" s="843"/>
      <c r="G2015" s="843"/>
      <c r="H2015" s="843"/>
      <c r="I2015" s="843"/>
      <c r="J2015" s="843"/>
      <c r="K2015" s="843"/>
      <c r="L2015" s="843"/>
      <c r="M2015" s="843"/>
      <c r="N2015" s="843"/>
      <c r="O2015" s="843"/>
      <c r="P2015" s="843"/>
      <c r="Q2015" s="843"/>
      <c r="R2015" s="843"/>
      <c r="S2015" s="843"/>
      <c r="T2015" s="843"/>
      <c r="U2015" s="843"/>
      <c r="V2015" s="843"/>
      <c r="W2015" s="843"/>
      <c r="X2015" s="843"/>
      <c r="Y2015" s="843"/>
      <c r="Z2015" s="843"/>
      <c r="AA2015" s="843"/>
      <c r="AB2015" s="843"/>
      <c r="AC2015" s="843"/>
      <c r="AD2015" s="843"/>
      <c r="AE2015" s="843"/>
      <c r="AF2015" s="843"/>
      <c r="AG2015" s="843"/>
      <c r="AH2015" s="843"/>
      <c r="AI2015" s="843"/>
      <c r="AJ2015" s="843"/>
      <c r="AK2015" s="729"/>
      <c r="AL2015" s="729"/>
      <c r="AM2015" s="729"/>
    </row>
    <row r="2016" spans="2:39" hidden="1">
      <c r="B2016" s="824" t="s">
        <v>1466</v>
      </c>
      <c r="C2016" s="825"/>
      <c r="D2016" s="828" t="s">
        <v>1467</v>
      </c>
      <c r="E2016" s="829"/>
      <c r="F2016" s="825"/>
      <c r="G2016" s="828" t="s">
        <v>1468</v>
      </c>
      <c r="H2016" s="831"/>
      <c r="I2016" s="832"/>
      <c r="J2016" s="780" t="s">
        <v>1470</v>
      </c>
      <c r="K2016" s="781"/>
      <c r="L2016" s="781"/>
      <c r="M2016" s="781"/>
      <c r="N2016" s="781"/>
      <c r="O2016" s="781"/>
      <c r="P2016" s="781"/>
      <c r="Q2016" s="781"/>
      <c r="R2016" s="781"/>
      <c r="S2016" s="836" t="s">
        <v>1474</v>
      </c>
      <c r="T2016" s="836"/>
      <c r="U2016" s="836"/>
      <c r="V2016" s="828" t="s">
        <v>1475</v>
      </c>
      <c r="W2016" s="831"/>
      <c r="X2016" s="832"/>
      <c r="Y2016" s="828" t="s">
        <v>1476</v>
      </c>
      <c r="Z2016" s="831"/>
      <c r="AA2016" s="832"/>
      <c r="AB2016" s="828" t="s">
        <v>1477</v>
      </c>
      <c r="AC2016" s="831"/>
      <c r="AD2016" s="832"/>
      <c r="AE2016" s="828" t="s">
        <v>1478</v>
      </c>
      <c r="AF2016" s="831"/>
      <c r="AG2016" s="832"/>
      <c r="AH2016" s="778" t="s">
        <v>1112</v>
      </c>
      <c r="AI2016" s="778"/>
      <c r="AJ2016" s="778"/>
      <c r="AK2016" s="729"/>
      <c r="AL2016" s="729"/>
      <c r="AM2016" s="729"/>
    </row>
    <row r="2017" spans="2:39" ht="78.75" hidden="1" customHeight="1">
      <c r="B2017" s="826"/>
      <c r="C2017" s="827"/>
      <c r="D2017" s="826"/>
      <c r="E2017" s="830"/>
      <c r="F2017" s="827"/>
      <c r="G2017" s="833"/>
      <c r="H2017" s="834"/>
      <c r="I2017" s="835"/>
      <c r="J2017" s="778" t="s">
        <v>1471</v>
      </c>
      <c r="K2017" s="778"/>
      <c r="L2017" s="778"/>
      <c r="M2017" s="778" t="s">
        <v>1472</v>
      </c>
      <c r="N2017" s="778"/>
      <c r="O2017" s="778"/>
      <c r="P2017" s="778" t="s">
        <v>1473</v>
      </c>
      <c r="Q2017" s="778"/>
      <c r="R2017" s="780"/>
      <c r="S2017" s="836"/>
      <c r="T2017" s="836"/>
      <c r="U2017" s="836"/>
      <c r="V2017" s="833"/>
      <c r="W2017" s="834"/>
      <c r="X2017" s="835"/>
      <c r="Y2017" s="833"/>
      <c r="Z2017" s="834"/>
      <c r="AA2017" s="835"/>
      <c r="AB2017" s="833"/>
      <c r="AC2017" s="834"/>
      <c r="AD2017" s="835"/>
      <c r="AE2017" s="833"/>
      <c r="AF2017" s="834"/>
      <c r="AG2017" s="835"/>
      <c r="AH2017" s="778"/>
      <c r="AI2017" s="778"/>
      <c r="AJ2017" s="778"/>
      <c r="AK2017" s="729"/>
      <c r="AL2017" s="729"/>
      <c r="AM2017" s="729"/>
    </row>
    <row r="2018" spans="2:39" hidden="1">
      <c r="B2018" s="786">
        <v>1</v>
      </c>
      <c r="C2018" s="786"/>
      <c r="D2018" s="786">
        <v>2</v>
      </c>
      <c r="E2018" s="786"/>
      <c r="F2018" s="786"/>
      <c r="G2018" s="786">
        <v>3</v>
      </c>
      <c r="H2018" s="786"/>
      <c r="I2018" s="786"/>
      <c r="J2018" s="786">
        <v>4</v>
      </c>
      <c r="K2018" s="786"/>
      <c r="L2018" s="786"/>
      <c r="M2018" s="786">
        <v>5</v>
      </c>
      <c r="N2018" s="786"/>
      <c r="O2018" s="786"/>
      <c r="P2018" s="786">
        <v>6</v>
      </c>
      <c r="Q2018" s="786"/>
      <c r="R2018" s="786"/>
      <c r="S2018" s="786">
        <v>7</v>
      </c>
      <c r="T2018" s="786"/>
      <c r="U2018" s="786"/>
      <c r="V2018" s="786">
        <v>8</v>
      </c>
      <c r="W2018" s="786"/>
      <c r="X2018" s="786"/>
      <c r="Y2018" s="786">
        <v>9</v>
      </c>
      <c r="Z2018" s="786"/>
      <c r="AA2018" s="786"/>
      <c r="AB2018" s="786">
        <v>10</v>
      </c>
      <c r="AC2018" s="786"/>
      <c r="AD2018" s="786"/>
      <c r="AE2018" s="786">
        <v>11</v>
      </c>
      <c r="AF2018" s="786"/>
      <c r="AG2018" s="786"/>
      <c r="AH2018" s="786">
        <v>12</v>
      </c>
      <c r="AI2018" s="786"/>
      <c r="AJ2018" s="786"/>
      <c r="AK2018" s="821"/>
      <c r="AL2018" s="822"/>
      <c r="AM2018" s="823"/>
    </row>
    <row r="2019" spans="2:39" hidden="1">
      <c r="B2019" s="812" t="s">
        <v>1479</v>
      </c>
      <c r="C2019" s="813"/>
      <c r="D2019" s="813"/>
      <c r="E2019" s="813"/>
      <c r="F2019" s="813"/>
      <c r="G2019" s="813"/>
      <c r="H2019" s="813"/>
      <c r="I2019" s="813"/>
      <c r="J2019" s="813"/>
      <c r="K2019" s="813"/>
      <c r="L2019" s="813"/>
      <c r="M2019" s="813"/>
      <c r="N2019" s="813"/>
      <c r="O2019" s="813"/>
      <c r="P2019" s="813"/>
      <c r="Q2019" s="813"/>
      <c r="R2019" s="813"/>
      <c r="S2019" s="813"/>
      <c r="T2019" s="813"/>
      <c r="U2019" s="813"/>
      <c r="V2019" s="813"/>
      <c r="W2019" s="813"/>
      <c r="X2019" s="813"/>
      <c r="Y2019" s="813"/>
      <c r="Z2019" s="813"/>
      <c r="AA2019" s="813"/>
      <c r="AB2019" s="813"/>
      <c r="AC2019" s="813"/>
      <c r="AD2019" s="813"/>
      <c r="AE2019" s="813"/>
      <c r="AF2019" s="813"/>
      <c r="AG2019" s="813"/>
      <c r="AH2019" s="813"/>
      <c r="AI2019" s="813"/>
      <c r="AJ2019" s="814"/>
      <c r="AK2019" s="821"/>
      <c r="AL2019" s="822"/>
      <c r="AM2019" s="823"/>
    </row>
    <row r="2020" spans="2:39" hidden="1">
      <c r="B2020" s="786"/>
      <c r="C2020" s="786"/>
      <c r="D2020" s="786"/>
      <c r="E2020" s="786"/>
      <c r="F2020" s="786"/>
      <c r="G2020" s="786"/>
      <c r="H2020" s="786"/>
      <c r="I2020" s="786"/>
      <c r="J2020" s="786"/>
      <c r="K2020" s="786"/>
      <c r="L2020" s="786"/>
      <c r="M2020" s="786"/>
      <c r="N2020" s="786"/>
      <c r="O2020" s="786"/>
      <c r="P2020" s="786"/>
      <c r="Q2020" s="786"/>
      <c r="R2020" s="786"/>
      <c r="S2020" s="786"/>
      <c r="T2020" s="786"/>
      <c r="U2020" s="786"/>
      <c r="V2020" s="786"/>
      <c r="W2020" s="786"/>
      <c r="X2020" s="786"/>
      <c r="Y2020" s="786"/>
      <c r="Z2020" s="786"/>
      <c r="AA2020" s="786"/>
      <c r="AB2020" s="786"/>
      <c r="AC2020" s="786"/>
      <c r="AD2020" s="786"/>
      <c r="AE2020" s="786"/>
      <c r="AF2020" s="786"/>
      <c r="AG2020" s="786"/>
      <c r="AH2020" s="786"/>
      <c r="AI2020" s="786"/>
      <c r="AJ2020" s="786"/>
      <c r="AK2020" s="821"/>
      <c r="AL2020" s="822"/>
      <c r="AM2020" s="823"/>
    </row>
    <row r="2021" spans="2:39" hidden="1">
      <c r="B2021" s="786"/>
      <c r="C2021" s="786"/>
      <c r="D2021" s="786"/>
      <c r="E2021" s="786"/>
      <c r="F2021" s="786"/>
      <c r="G2021" s="786"/>
      <c r="H2021" s="786"/>
      <c r="I2021" s="786"/>
      <c r="J2021" s="786"/>
      <c r="K2021" s="786"/>
      <c r="L2021" s="786"/>
      <c r="M2021" s="786"/>
      <c r="N2021" s="786"/>
      <c r="O2021" s="786"/>
      <c r="P2021" s="786"/>
      <c r="Q2021" s="786"/>
      <c r="R2021" s="786"/>
      <c r="S2021" s="786"/>
      <c r="T2021" s="786"/>
      <c r="U2021" s="786"/>
      <c r="V2021" s="786"/>
      <c r="W2021" s="786"/>
      <c r="X2021" s="786"/>
      <c r="Y2021" s="786"/>
      <c r="Z2021" s="786"/>
      <c r="AA2021" s="786"/>
      <c r="AB2021" s="786"/>
      <c r="AC2021" s="786"/>
      <c r="AD2021" s="786"/>
      <c r="AE2021" s="786"/>
      <c r="AF2021" s="786"/>
      <c r="AG2021" s="786"/>
      <c r="AH2021" s="786"/>
      <c r="AI2021" s="786"/>
      <c r="AJ2021" s="786"/>
      <c r="AK2021" s="821"/>
      <c r="AL2021" s="822"/>
      <c r="AM2021" s="823"/>
    </row>
    <row r="2022" spans="2:39" hidden="1">
      <c r="B2022" s="786"/>
      <c r="C2022" s="786"/>
      <c r="D2022" s="786"/>
      <c r="E2022" s="786"/>
      <c r="F2022" s="786"/>
      <c r="G2022" s="786"/>
      <c r="H2022" s="786"/>
      <c r="I2022" s="786"/>
      <c r="J2022" s="786"/>
      <c r="K2022" s="786"/>
      <c r="L2022" s="786"/>
      <c r="M2022" s="786"/>
      <c r="N2022" s="786"/>
      <c r="O2022" s="786"/>
      <c r="P2022" s="786"/>
      <c r="Q2022" s="786"/>
      <c r="R2022" s="786"/>
      <c r="S2022" s="786"/>
      <c r="T2022" s="786"/>
      <c r="U2022" s="786"/>
      <c r="V2022" s="786"/>
      <c r="W2022" s="786"/>
      <c r="X2022" s="786"/>
      <c r="Y2022" s="786"/>
      <c r="Z2022" s="786"/>
      <c r="AA2022" s="786"/>
      <c r="AB2022" s="786"/>
      <c r="AC2022" s="786"/>
      <c r="AD2022" s="786"/>
      <c r="AE2022" s="786"/>
      <c r="AF2022" s="786"/>
      <c r="AG2022" s="786"/>
      <c r="AH2022" s="786"/>
      <c r="AI2022" s="786"/>
      <c r="AJ2022" s="786"/>
      <c r="AK2022" s="821"/>
      <c r="AL2022" s="822"/>
      <c r="AM2022" s="823"/>
    </row>
    <row r="2023" spans="2:39" hidden="1">
      <c r="B2023" s="812" t="s">
        <v>1480</v>
      </c>
      <c r="C2023" s="813"/>
      <c r="D2023" s="813"/>
      <c r="E2023" s="813"/>
      <c r="F2023" s="813"/>
      <c r="G2023" s="813"/>
      <c r="H2023" s="813"/>
      <c r="I2023" s="813"/>
      <c r="J2023" s="813"/>
      <c r="K2023" s="813"/>
      <c r="L2023" s="813"/>
      <c r="M2023" s="813"/>
      <c r="N2023" s="813"/>
      <c r="O2023" s="813"/>
      <c r="P2023" s="813"/>
      <c r="Q2023" s="813"/>
      <c r="R2023" s="813"/>
      <c r="S2023" s="813"/>
      <c r="T2023" s="813"/>
      <c r="U2023" s="813"/>
      <c r="V2023" s="813"/>
      <c r="W2023" s="813"/>
      <c r="X2023" s="813"/>
      <c r="Y2023" s="813"/>
      <c r="Z2023" s="813"/>
      <c r="AA2023" s="813"/>
      <c r="AB2023" s="813"/>
      <c r="AC2023" s="813"/>
      <c r="AD2023" s="813"/>
      <c r="AE2023" s="813"/>
      <c r="AF2023" s="813"/>
      <c r="AG2023" s="813"/>
      <c r="AH2023" s="813"/>
      <c r="AI2023" s="813"/>
      <c r="AJ2023" s="814"/>
      <c r="AK2023" s="821"/>
      <c r="AL2023" s="822"/>
      <c r="AM2023" s="823"/>
    </row>
    <row r="2024" spans="2:39" hidden="1">
      <c r="B2024" s="786"/>
      <c r="C2024" s="786"/>
      <c r="D2024" s="786"/>
      <c r="E2024" s="786"/>
      <c r="F2024" s="786"/>
      <c r="G2024" s="786"/>
      <c r="H2024" s="786"/>
      <c r="I2024" s="786"/>
      <c r="J2024" s="786"/>
      <c r="K2024" s="786"/>
      <c r="L2024" s="786"/>
      <c r="M2024" s="786"/>
      <c r="N2024" s="786"/>
      <c r="O2024" s="786"/>
      <c r="P2024" s="786"/>
      <c r="Q2024" s="786"/>
      <c r="R2024" s="786"/>
      <c r="S2024" s="786"/>
      <c r="T2024" s="786"/>
      <c r="U2024" s="786"/>
      <c r="V2024" s="786"/>
      <c r="W2024" s="786"/>
      <c r="X2024" s="786"/>
      <c r="Y2024" s="786"/>
      <c r="Z2024" s="786"/>
      <c r="AA2024" s="786"/>
      <c r="AB2024" s="786"/>
      <c r="AC2024" s="786"/>
      <c r="AD2024" s="786"/>
      <c r="AE2024" s="786"/>
      <c r="AF2024" s="786"/>
      <c r="AG2024" s="786"/>
      <c r="AH2024" s="786"/>
      <c r="AI2024" s="786"/>
      <c r="AJ2024" s="786"/>
      <c r="AK2024" s="821"/>
      <c r="AL2024" s="822"/>
      <c r="AM2024" s="823"/>
    </row>
    <row r="2025" spans="2:39" hidden="1">
      <c r="B2025" s="786"/>
      <c r="C2025" s="786"/>
      <c r="D2025" s="786"/>
      <c r="E2025" s="786"/>
      <c r="F2025" s="786"/>
      <c r="G2025" s="786"/>
      <c r="H2025" s="786"/>
      <c r="I2025" s="786"/>
      <c r="J2025" s="786"/>
      <c r="K2025" s="786"/>
      <c r="L2025" s="786"/>
      <c r="M2025" s="786"/>
      <c r="N2025" s="786"/>
      <c r="O2025" s="786"/>
      <c r="P2025" s="786"/>
      <c r="Q2025" s="786"/>
      <c r="R2025" s="786"/>
      <c r="S2025" s="786"/>
      <c r="T2025" s="786"/>
      <c r="U2025" s="786"/>
      <c r="V2025" s="786"/>
      <c r="W2025" s="786"/>
      <c r="X2025" s="786"/>
      <c r="Y2025" s="786"/>
      <c r="Z2025" s="786"/>
      <c r="AA2025" s="786"/>
      <c r="AB2025" s="786"/>
      <c r="AC2025" s="786"/>
      <c r="AD2025" s="786"/>
      <c r="AE2025" s="786"/>
      <c r="AF2025" s="786"/>
      <c r="AG2025" s="786"/>
      <c r="AH2025" s="786"/>
      <c r="AI2025" s="786"/>
      <c r="AJ2025" s="786"/>
      <c r="AK2025" s="821"/>
      <c r="AL2025" s="822"/>
      <c r="AM2025" s="823"/>
    </row>
    <row r="2026" spans="2:39" hidden="1">
      <c r="B2026" s="786"/>
      <c r="C2026" s="786"/>
      <c r="D2026" s="786"/>
      <c r="E2026" s="786"/>
      <c r="F2026" s="786"/>
      <c r="G2026" s="786"/>
      <c r="H2026" s="786"/>
      <c r="I2026" s="786"/>
      <c r="J2026" s="786"/>
      <c r="K2026" s="786"/>
      <c r="L2026" s="786"/>
      <c r="M2026" s="786"/>
      <c r="N2026" s="786"/>
      <c r="O2026" s="786"/>
      <c r="P2026" s="786"/>
      <c r="Q2026" s="786"/>
      <c r="R2026" s="786"/>
      <c r="S2026" s="786"/>
      <c r="T2026" s="786"/>
      <c r="U2026" s="786"/>
      <c r="V2026" s="786"/>
      <c r="W2026" s="786"/>
      <c r="X2026" s="786"/>
      <c r="Y2026" s="786"/>
      <c r="Z2026" s="786"/>
      <c r="AA2026" s="786"/>
      <c r="AB2026" s="786"/>
      <c r="AC2026" s="786"/>
      <c r="AD2026" s="786"/>
      <c r="AE2026" s="786"/>
      <c r="AF2026" s="786"/>
      <c r="AG2026" s="786"/>
      <c r="AH2026" s="786"/>
      <c r="AI2026" s="786"/>
      <c r="AJ2026" s="786"/>
      <c r="AK2026" s="821"/>
      <c r="AL2026" s="822"/>
      <c r="AM2026" s="823"/>
    </row>
    <row r="2027" spans="2:39" hidden="1">
      <c r="B2027" s="786"/>
      <c r="C2027" s="786"/>
      <c r="D2027" s="786"/>
      <c r="E2027" s="786"/>
      <c r="F2027" s="786"/>
      <c r="G2027" s="786"/>
      <c r="H2027" s="786"/>
      <c r="I2027" s="786"/>
      <c r="J2027" s="786"/>
      <c r="K2027" s="786"/>
      <c r="L2027" s="786"/>
      <c r="M2027" s="786"/>
      <c r="N2027" s="786"/>
      <c r="O2027" s="786"/>
      <c r="P2027" s="786"/>
      <c r="Q2027" s="786"/>
      <c r="R2027" s="786"/>
      <c r="S2027" s="786"/>
      <c r="T2027" s="786"/>
      <c r="U2027" s="786"/>
      <c r="V2027" s="786"/>
      <c r="W2027" s="786"/>
      <c r="X2027" s="786"/>
      <c r="Y2027" s="786"/>
      <c r="Z2027" s="786"/>
      <c r="AA2027" s="786"/>
      <c r="AB2027" s="786"/>
      <c r="AC2027" s="786"/>
      <c r="AD2027" s="786"/>
      <c r="AE2027" s="786"/>
      <c r="AF2027" s="786"/>
      <c r="AG2027" s="786"/>
      <c r="AH2027" s="786"/>
      <c r="AI2027" s="786"/>
      <c r="AJ2027" s="786"/>
      <c r="AK2027" s="821"/>
      <c r="AL2027" s="822"/>
      <c r="AM2027" s="823"/>
    </row>
    <row r="2028" spans="2:39" hidden="1">
      <c r="B2028" s="812" t="s">
        <v>1481</v>
      </c>
      <c r="C2028" s="813"/>
      <c r="D2028" s="813"/>
      <c r="E2028" s="813"/>
      <c r="F2028" s="813"/>
      <c r="G2028" s="813"/>
      <c r="H2028" s="813"/>
      <c r="I2028" s="813"/>
      <c r="J2028" s="813"/>
      <c r="K2028" s="813"/>
      <c r="L2028" s="813"/>
      <c r="M2028" s="813"/>
      <c r="N2028" s="813"/>
      <c r="O2028" s="813"/>
      <c r="P2028" s="813"/>
      <c r="Q2028" s="813"/>
      <c r="R2028" s="813"/>
      <c r="S2028" s="813"/>
      <c r="T2028" s="813"/>
      <c r="U2028" s="813"/>
      <c r="V2028" s="813"/>
      <c r="W2028" s="813"/>
      <c r="X2028" s="813"/>
      <c r="Y2028" s="813"/>
      <c r="Z2028" s="813"/>
      <c r="AA2028" s="813"/>
      <c r="AB2028" s="813"/>
      <c r="AC2028" s="813"/>
      <c r="AD2028" s="813"/>
      <c r="AE2028" s="813"/>
      <c r="AF2028" s="813"/>
      <c r="AG2028" s="813"/>
      <c r="AH2028" s="813"/>
      <c r="AI2028" s="813"/>
      <c r="AJ2028" s="814"/>
      <c r="AK2028" s="821"/>
      <c r="AL2028" s="822"/>
      <c r="AM2028" s="823"/>
    </row>
    <row r="2029" spans="2:39" hidden="1">
      <c r="B2029" s="786"/>
      <c r="C2029" s="786"/>
      <c r="D2029" s="786"/>
      <c r="E2029" s="786"/>
      <c r="F2029" s="786"/>
      <c r="G2029" s="786"/>
      <c r="H2029" s="786"/>
      <c r="I2029" s="786"/>
      <c r="J2029" s="786"/>
      <c r="K2029" s="786"/>
      <c r="L2029" s="786"/>
      <c r="M2029" s="786"/>
      <c r="N2029" s="786"/>
      <c r="O2029" s="786"/>
      <c r="P2029" s="786"/>
      <c r="Q2029" s="786"/>
      <c r="R2029" s="786"/>
      <c r="S2029" s="786"/>
      <c r="T2029" s="786"/>
      <c r="U2029" s="786"/>
      <c r="V2029" s="786"/>
      <c r="W2029" s="786"/>
      <c r="X2029" s="786"/>
      <c r="Y2029" s="786"/>
      <c r="Z2029" s="786"/>
      <c r="AA2029" s="786"/>
      <c r="AB2029" s="786"/>
      <c r="AC2029" s="786"/>
      <c r="AD2029" s="786"/>
      <c r="AE2029" s="786"/>
      <c r="AF2029" s="786"/>
      <c r="AG2029" s="786"/>
      <c r="AH2029" s="786"/>
      <c r="AI2029" s="786"/>
      <c r="AJ2029" s="786"/>
      <c r="AK2029" s="821"/>
      <c r="AL2029" s="822"/>
      <c r="AM2029" s="823"/>
    </row>
    <row r="2030" spans="2:39" hidden="1">
      <c r="B2030" s="786"/>
      <c r="C2030" s="786"/>
      <c r="D2030" s="786"/>
      <c r="E2030" s="786"/>
      <c r="F2030" s="786"/>
      <c r="G2030" s="786"/>
      <c r="H2030" s="786"/>
      <c r="I2030" s="786"/>
      <c r="J2030" s="786"/>
      <c r="K2030" s="786"/>
      <c r="L2030" s="786"/>
      <c r="M2030" s="786"/>
      <c r="N2030" s="786"/>
      <c r="O2030" s="786"/>
      <c r="P2030" s="786"/>
      <c r="Q2030" s="786"/>
      <c r="R2030" s="786"/>
      <c r="S2030" s="786"/>
      <c r="T2030" s="786"/>
      <c r="U2030" s="786"/>
      <c r="V2030" s="786"/>
      <c r="W2030" s="786"/>
      <c r="X2030" s="786"/>
      <c r="Y2030" s="786"/>
      <c r="Z2030" s="786"/>
      <c r="AA2030" s="786"/>
      <c r="AB2030" s="786"/>
      <c r="AC2030" s="786"/>
      <c r="AD2030" s="786"/>
      <c r="AE2030" s="786"/>
      <c r="AF2030" s="786"/>
      <c r="AG2030" s="786"/>
      <c r="AH2030" s="786"/>
      <c r="AI2030" s="786"/>
      <c r="AJ2030" s="786"/>
      <c r="AK2030" s="821"/>
      <c r="AL2030" s="822"/>
      <c r="AM2030" s="823"/>
    </row>
    <row r="2031" spans="2:39" hidden="1">
      <c r="B2031" s="786"/>
      <c r="C2031" s="786"/>
      <c r="D2031" s="786"/>
      <c r="E2031" s="786"/>
      <c r="F2031" s="786"/>
      <c r="G2031" s="786"/>
      <c r="H2031" s="786"/>
      <c r="I2031" s="786"/>
      <c r="J2031" s="786"/>
      <c r="K2031" s="786"/>
      <c r="L2031" s="786"/>
      <c r="M2031" s="786"/>
      <c r="N2031" s="786"/>
      <c r="O2031" s="786"/>
      <c r="P2031" s="786"/>
      <c r="Q2031" s="786"/>
      <c r="R2031" s="786"/>
      <c r="S2031" s="786"/>
      <c r="T2031" s="786"/>
      <c r="U2031" s="786"/>
      <c r="V2031" s="786"/>
      <c r="W2031" s="786"/>
      <c r="X2031" s="786"/>
      <c r="Y2031" s="786"/>
      <c r="Z2031" s="786"/>
      <c r="AA2031" s="786"/>
      <c r="AB2031" s="786"/>
      <c r="AC2031" s="786"/>
      <c r="AD2031" s="786"/>
      <c r="AE2031" s="786"/>
      <c r="AF2031" s="786"/>
      <c r="AG2031" s="786"/>
      <c r="AH2031" s="786"/>
      <c r="AI2031" s="786"/>
      <c r="AJ2031" s="786"/>
      <c r="AK2031" s="821"/>
      <c r="AL2031" s="822"/>
      <c r="AM2031" s="823"/>
    </row>
    <row r="2032" spans="2:39" hidden="1">
      <c r="B2032" s="786"/>
      <c r="C2032" s="786"/>
      <c r="D2032" s="786"/>
      <c r="E2032" s="786"/>
      <c r="F2032" s="786"/>
      <c r="G2032" s="786"/>
      <c r="H2032" s="786"/>
      <c r="I2032" s="786"/>
      <c r="J2032" s="786"/>
      <c r="K2032" s="786"/>
      <c r="L2032" s="786"/>
      <c r="M2032" s="786"/>
      <c r="N2032" s="786"/>
      <c r="O2032" s="786"/>
      <c r="P2032" s="786"/>
      <c r="Q2032" s="786"/>
      <c r="R2032" s="786"/>
      <c r="S2032" s="786"/>
      <c r="T2032" s="786"/>
      <c r="U2032" s="786"/>
      <c r="V2032" s="786"/>
      <c r="W2032" s="786"/>
      <c r="X2032" s="786"/>
      <c r="Y2032" s="786"/>
      <c r="Z2032" s="786"/>
      <c r="AA2032" s="786"/>
      <c r="AB2032" s="786"/>
      <c r="AC2032" s="786"/>
      <c r="AD2032" s="786"/>
      <c r="AE2032" s="786"/>
      <c r="AF2032" s="786"/>
      <c r="AG2032" s="786"/>
      <c r="AH2032" s="786"/>
      <c r="AI2032" s="786"/>
      <c r="AJ2032" s="786"/>
      <c r="AK2032" s="821"/>
      <c r="AL2032" s="822"/>
      <c r="AM2032" s="823"/>
    </row>
    <row r="2033" spans="2:39" hidden="1">
      <c r="B2033" s="786"/>
      <c r="C2033" s="786"/>
      <c r="D2033" s="786"/>
      <c r="E2033" s="786"/>
      <c r="F2033" s="786"/>
      <c r="G2033" s="786"/>
      <c r="H2033" s="786"/>
      <c r="I2033" s="786"/>
      <c r="J2033" s="786"/>
      <c r="K2033" s="786"/>
      <c r="L2033" s="786"/>
      <c r="M2033" s="786"/>
      <c r="N2033" s="786"/>
      <c r="O2033" s="786"/>
      <c r="P2033" s="786"/>
      <c r="Q2033" s="786"/>
      <c r="R2033" s="786"/>
      <c r="S2033" s="786"/>
      <c r="T2033" s="786"/>
      <c r="U2033" s="786"/>
      <c r="V2033" s="786"/>
      <c r="W2033" s="786"/>
      <c r="X2033" s="786"/>
      <c r="Y2033" s="786"/>
      <c r="Z2033" s="786"/>
      <c r="AA2033" s="786"/>
      <c r="AB2033" s="786"/>
      <c r="AC2033" s="786"/>
      <c r="AD2033" s="786"/>
      <c r="AE2033" s="786"/>
      <c r="AF2033" s="786"/>
      <c r="AG2033" s="786"/>
      <c r="AH2033" s="786"/>
      <c r="AI2033" s="786"/>
      <c r="AJ2033" s="786"/>
      <c r="AK2033" s="821"/>
      <c r="AL2033" s="822"/>
      <c r="AM2033" s="823"/>
    </row>
    <row r="2034" spans="2:39" hidden="1">
      <c r="B2034" s="786"/>
      <c r="C2034" s="786"/>
      <c r="D2034" s="786"/>
      <c r="E2034" s="786"/>
      <c r="F2034" s="786"/>
      <c r="G2034" s="786"/>
      <c r="H2034" s="786"/>
      <c r="I2034" s="786"/>
      <c r="J2034" s="786"/>
      <c r="K2034" s="786"/>
      <c r="L2034" s="786"/>
      <c r="M2034" s="786"/>
      <c r="N2034" s="786"/>
      <c r="O2034" s="786"/>
      <c r="P2034" s="786"/>
      <c r="Q2034" s="786"/>
      <c r="R2034" s="786"/>
      <c r="S2034" s="786"/>
      <c r="T2034" s="786"/>
      <c r="U2034" s="786"/>
      <c r="V2034" s="786"/>
      <c r="W2034" s="786"/>
      <c r="X2034" s="786"/>
      <c r="Y2034" s="786"/>
      <c r="Z2034" s="786"/>
      <c r="AA2034" s="786"/>
      <c r="AB2034" s="786"/>
      <c r="AC2034" s="786"/>
      <c r="AD2034" s="786"/>
      <c r="AE2034" s="786"/>
      <c r="AF2034" s="786"/>
      <c r="AG2034" s="786"/>
      <c r="AH2034" s="786"/>
      <c r="AI2034" s="786"/>
      <c r="AJ2034" s="786"/>
      <c r="AK2034" s="821"/>
      <c r="AL2034" s="822"/>
      <c r="AM2034" s="823"/>
    </row>
    <row r="2035" spans="2:39" hidden="1"/>
  </sheetData>
  <mergeCells count="5115">
    <mergeCell ref="C1307:Y1308"/>
    <mergeCell ref="C1311:Y1311"/>
    <mergeCell ref="C1313:Y1313"/>
    <mergeCell ref="C1315:Y1315"/>
    <mergeCell ref="C1310:Y1310"/>
    <mergeCell ref="C1317:Y1317"/>
    <mergeCell ref="C1319:Y1319"/>
    <mergeCell ref="C1321:Y1321"/>
    <mergeCell ref="C1323:Y1323"/>
    <mergeCell ref="D837:X837"/>
    <mergeCell ref="D839:X839"/>
    <mergeCell ref="D841:F841"/>
    <mergeCell ref="J841:P841"/>
    <mergeCell ref="V841:X841"/>
    <mergeCell ref="D843:F843"/>
    <mergeCell ref="L843:N843"/>
    <mergeCell ref="Q843:S843"/>
    <mergeCell ref="V843:X859"/>
    <mergeCell ref="D845:F845"/>
    <mergeCell ref="L845:N845"/>
    <mergeCell ref="Q845:S845"/>
    <mergeCell ref="D847:F847"/>
    <mergeCell ref="I847:L847"/>
    <mergeCell ref="N847:P847"/>
    <mergeCell ref="D849:F849"/>
    <mergeCell ref="Q849:S849"/>
    <mergeCell ref="D852:F853"/>
    <mergeCell ref="L852:N853"/>
    <mergeCell ref="D855:F855"/>
    <mergeCell ref="L855:N855"/>
    <mergeCell ref="D857:F857"/>
    <mergeCell ref="L857:N857"/>
    <mergeCell ref="D859:F860"/>
    <mergeCell ref="J859:O860"/>
    <mergeCell ref="D806:F806"/>
    <mergeCell ref="Q806:T806"/>
    <mergeCell ref="D811:X811"/>
    <mergeCell ref="D813:X813"/>
    <mergeCell ref="D815:F815"/>
    <mergeCell ref="J815:P815"/>
    <mergeCell ref="V815:X815"/>
    <mergeCell ref="D817:F817"/>
    <mergeCell ref="L817:N817"/>
    <mergeCell ref="Q817:S817"/>
    <mergeCell ref="V817:X833"/>
    <mergeCell ref="D819:F819"/>
    <mergeCell ref="L819:N819"/>
    <mergeCell ref="Q819:S819"/>
    <mergeCell ref="D821:F821"/>
    <mergeCell ref="I821:L821"/>
    <mergeCell ref="N821:P821"/>
    <mergeCell ref="D823:F823"/>
    <mergeCell ref="Q823:S823"/>
    <mergeCell ref="D826:F827"/>
    <mergeCell ref="L826:N827"/>
    <mergeCell ref="D829:F829"/>
    <mergeCell ref="L829:N829"/>
    <mergeCell ref="D831:F831"/>
    <mergeCell ref="L831:N831"/>
    <mergeCell ref="D833:F834"/>
    <mergeCell ref="J833:O834"/>
    <mergeCell ref="D785:X785"/>
    <mergeCell ref="D787:F787"/>
    <mergeCell ref="J787:P787"/>
    <mergeCell ref="V787:X787"/>
    <mergeCell ref="D789:F789"/>
    <mergeCell ref="L789:N789"/>
    <mergeCell ref="Q789:S789"/>
    <mergeCell ref="V789:X804"/>
    <mergeCell ref="D791:F791"/>
    <mergeCell ref="L791:N791"/>
    <mergeCell ref="Q791:S791"/>
    <mergeCell ref="D793:F793"/>
    <mergeCell ref="I793:L793"/>
    <mergeCell ref="O793:Q793"/>
    <mergeCell ref="Q794:S796"/>
    <mergeCell ref="D795:F796"/>
    <mergeCell ref="L795:N796"/>
    <mergeCell ref="D798:F798"/>
    <mergeCell ref="Q798:S798"/>
    <mergeCell ref="D800:F800"/>
    <mergeCell ref="L800:N800"/>
    <mergeCell ref="D802:F802"/>
    <mergeCell ref="L802:N802"/>
    <mergeCell ref="D804:F804"/>
    <mergeCell ref="J804:O804"/>
    <mergeCell ref="L752:N752"/>
    <mergeCell ref="D754:F754"/>
    <mergeCell ref="L754:N754"/>
    <mergeCell ref="D756:F757"/>
    <mergeCell ref="J756:O757"/>
    <mergeCell ref="D761:X761"/>
    <mergeCell ref="D763:F763"/>
    <mergeCell ref="J763:P763"/>
    <mergeCell ref="V763:X763"/>
    <mergeCell ref="D765:F765"/>
    <mergeCell ref="L765:N765"/>
    <mergeCell ref="Q765:S765"/>
    <mergeCell ref="V765:X780"/>
    <mergeCell ref="D767:F767"/>
    <mergeCell ref="L767:N767"/>
    <mergeCell ref="Q767:S767"/>
    <mergeCell ref="D769:F769"/>
    <mergeCell ref="I769:L769"/>
    <mergeCell ref="N769:P769"/>
    <mergeCell ref="Q770:S772"/>
    <mergeCell ref="D771:F772"/>
    <mergeCell ref="L771:N772"/>
    <mergeCell ref="D774:F774"/>
    <mergeCell ref="Q774:S774"/>
    <mergeCell ref="D776:F776"/>
    <mergeCell ref="L776:N776"/>
    <mergeCell ref="D778:F778"/>
    <mergeCell ref="L778:N778"/>
    <mergeCell ref="D780:F781"/>
    <mergeCell ref="J780:O781"/>
    <mergeCell ref="Q720:S722"/>
    <mergeCell ref="D721:F722"/>
    <mergeCell ref="L721:N722"/>
    <mergeCell ref="D724:F724"/>
    <mergeCell ref="Q724:S724"/>
    <mergeCell ref="D726:F726"/>
    <mergeCell ref="L726:N726"/>
    <mergeCell ref="D728:F728"/>
    <mergeCell ref="L728:N728"/>
    <mergeCell ref="D730:F731"/>
    <mergeCell ref="J730:O731"/>
    <mergeCell ref="D735:X735"/>
    <mergeCell ref="D737:F737"/>
    <mergeCell ref="J737:P737"/>
    <mergeCell ref="V737:X737"/>
    <mergeCell ref="D739:F739"/>
    <mergeCell ref="L739:N739"/>
    <mergeCell ref="Q739:S739"/>
    <mergeCell ref="V739:X756"/>
    <mergeCell ref="D741:F741"/>
    <mergeCell ref="L741:N741"/>
    <mergeCell ref="Q741:S741"/>
    <mergeCell ref="D743:F743"/>
    <mergeCell ref="L743:N743"/>
    <mergeCell ref="D745:F745"/>
    <mergeCell ref="L745:N745"/>
    <mergeCell ref="Q746:S748"/>
    <mergeCell ref="D747:F748"/>
    <mergeCell ref="L747:N748"/>
    <mergeCell ref="D750:F750"/>
    <mergeCell ref="Q750:S750"/>
    <mergeCell ref="D752:F752"/>
    <mergeCell ref="D512:X512"/>
    <mergeCell ref="D514:X514"/>
    <mergeCell ref="D516:F516"/>
    <mergeCell ref="J516:P516"/>
    <mergeCell ref="V516:X516"/>
    <mergeCell ref="D518:F518"/>
    <mergeCell ref="L518:N518"/>
    <mergeCell ref="Q518:S518"/>
    <mergeCell ref="V518:X531"/>
    <mergeCell ref="D520:F520"/>
    <mergeCell ref="L520:N520"/>
    <mergeCell ref="Q520:S520"/>
    <mergeCell ref="D522:F522"/>
    <mergeCell ref="L522:N522"/>
    <mergeCell ref="D524:F524"/>
    <mergeCell ref="H524:J524"/>
    <mergeCell ref="L524:N524"/>
    <mergeCell ref="Q524:S524"/>
    <mergeCell ref="D526:F526"/>
    <mergeCell ref="L526:N526"/>
    <mergeCell ref="D528:F528"/>
    <mergeCell ref="L528:N528"/>
    <mergeCell ref="D530:F531"/>
    <mergeCell ref="K530:O531"/>
    <mergeCell ref="D488:X488"/>
    <mergeCell ref="D490:X490"/>
    <mergeCell ref="D492:F492"/>
    <mergeCell ref="J492:P492"/>
    <mergeCell ref="V492:X492"/>
    <mergeCell ref="D494:F494"/>
    <mergeCell ref="L494:N494"/>
    <mergeCell ref="Q494:S494"/>
    <mergeCell ref="V494:X507"/>
    <mergeCell ref="D496:F496"/>
    <mergeCell ref="L496:N496"/>
    <mergeCell ref="Q496:S496"/>
    <mergeCell ref="D498:F498"/>
    <mergeCell ref="L498:N498"/>
    <mergeCell ref="D500:F500"/>
    <mergeCell ref="H500:J500"/>
    <mergeCell ref="L500:N500"/>
    <mergeCell ref="Q500:S500"/>
    <mergeCell ref="D502:F502"/>
    <mergeCell ref="L502:N502"/>
    <mergeCell ref="D504:F504"/>
    <mergeCell ref="L504:N504"/>
    <mergeCell ref="D506:F507"/>
    <mergeCell ref="K506:O507"/>
    <mergeCell ref="D463:X463"/>
    <mergeCell ref="D465:F465"/>
    <mergeCell ref="J465:P465"/>
    <mergeCell ref="V465:X465"/>
    <mergeCell ref="D467:F467"/>
    <mergeCell ref="L467:N467"/>
    <mergeCell ref="Q467:S467"/>
    <mergeCell ref="V467:X484"/>
    <mergeCell ref="D469:F469"/>
    <mergeCell ref="L469:N469"/>
    <mergeCell ref="Q469:S469"/>
    <mergeCell ref="D471:F471"/>
    <mergeCell ref="L471:N471"/>
    <mergeCell ref="Q471:S471"/>
    <mergeCell ref="D473:F473"/>
    <mergeCell ref="L473:N473"/>
    <mergeCell ref="Q473:S473"/>
    <mergeCell ref="D475:F475"/>
    <mergeCell ref="L475:N475"/>
    <mergeCell ref="D477:F477"/>
    <mergeCell ref="H477:J477"/>
    <mergeCell ref="L477:N477"/>
    <mergeCell ref="Q477:S477"/>
    <mergeCell ref="D479:F479"/>
    <mergeCell ref="L479:N479"/>
    <mergeCell ref="D481:F481"/>
    <mergeCell ref="L481:N481"/>
    <mergeCell ref="D483:F484"/>
    <mergeCell ref="K483:O484"/>
    <mergeCell ref="D437:X437"/>
    <mergeCell ref="D439:F439"/>
    <mergeCell ref="J439:P439"/>
    <mergeCell ref="V439:X439"/>
    <mergeCell ref="D441:F441"/>
    <mergeCell ref="L441:N441"/>
    <mergeCell ref="Q441:S441"/>
    <mergeCell ref="V441:X458"/>
    <mergeCell ref="D443:F443"/>
    <mergeCell ref="L443:N443"/>
    <mergeCell ref="Q443:S443"/>
    <mergeCell ref="D445:F445"/>
    <mergeCell ref="L445:N445"/>
    <mergeCell ref="Q445:S445"/>
    <mergeCell ref="D447:F447"/>
    <mergeCell ref="L447:N447"/>
    <mergeCell ref="Q447:S447"/>
    <mergeCell ref="D449:F449"/>
    <mergeCell ref="L449:N449"/>
    <mergeCell ref="D451:F451"/>
    <mergeCell ref="H451:J451"/>
    <mergeCell ref="L451:N451"/>
    <mergeCell ref="Q451:S451"/>
    <mergeCell ref="D453:F453"/>
    <mergeCell ref="L453:N453"/>
    <mergeCell ref="D455:F455"/>
    <mergeCell ref="L455:N455"/>
    <mergeCell ref="D457:F458"/>
    <mergeCell ref="K457:O458"/>
    <mergeCell ref="V415:X432"/>
    <mergeCell ref="D417:F417"/>
    <mergeCell ref="L417:N417"/>
    <mergeCell ref="Q417:S417"/>
    <mergeCell ref="D419:F419"/>
    <mergeCell ref="L419:N419"/>
    <mergeCell ref="Q419:S419"/>
    <mergeCell ref="D421:F421"/>
    <mergeCell ref="L421:N421"/>
    <mergeCell ref="Q421:S421"/>
    <mergeCell ref="D423:F423"/>
    <mergeCell ref="L423:N423"/>
    <mergeCell ref="D425:F425"/>
    <mergeCell ref="H425:J425"/>
    <mergeCell ref="L425:N425"/>
    <mergeCell ref="Q425:S425"/>
    <mergeCell ref="D427:F427"/>
    <mergeCell ref="L427:N427"/>
    <mergeCell ref="D429:F429"/>
    <mergeCell ref="L429:N429"/>
    <mergeCell ref="D431:F432"/>
    <mergeCell ref="K431:O432"/>
    <mergeCell ref="U1147:Y1147"/>
    <mergeCell ref="E1148:J1148"/>
    <mergeCell ref="K1148:M1148"/>
    <mergeCell ref="N1148:P1148"/>
    <mergeCell ref="Q1148:T1148"/>
    <mergeCell ref="E1149:J1149"/>
    <mergeCell ref="K1141:M1141"/>
    <mergeCell ref="N1141:P1141"/>
    <mergeCell ref="Q1141:T1141"/>
    <mergeCell ref="U1141:Y1141"/>
    <mergeCell ref="D384:X384"/>
    <mergeCell ref="D386:F386"/>
    <mergeCell ref="J386:P386"/>
    <mergeCell ref="V386:X386"/>
    <mergeCell ref="D388:F388"/>
    <mergeCell ref="L388:N388"/>
    <mergeCell ref="Q388:S388"/>
    <mergeCell ref="V388:X405"/>
    <mergeCell ref="D390:F390"/>
    <mergeCell ref="L390:N390"/>
    <mergeCell ref="Q390:S390"/>
    <mergeCell ref="D392:F392"/>
    <mergeCell ref="L392:N392"/>
    <mergeCell ref="Q392:S392"/>
    <mergeCell ref="D394:F394"/>
    <mergeCell ref="L394:N394"/>
    <mergeCell ref="Q394:S394"/>
    <mergeCell ref="D396:F396"/>
    <mergeCell ref="L396:N396"/>
    <mergeCell ref="D398:F398"/>
    <mergeCell ref="H398:J398"/>
    <mergeCell ref="V413:X413"/>
    <mergeCell ref="Q1143:T1143"/>
    <mergeCell ref="U1143:Y1143"/>
    <mergeCell ref="E1144:J1144"/>
    <mergeCell ref="E1152:J1152"/>
    <mergeCell ref="N1144:P1144"/>
    <mergeCell ref="K1152:M1152"/>
    <mergeCell ref="N1152:P1152"/>
    <mergeCell ref="Q1152:T1152"/>
    <mergeCell ref="U1152:Y1152"/>
    <mergeCell ref="K1144:M1144"/>
    <mergeCell ref="E1140:J1140"/>
    <mergeCell ref="K1140:M1140"/>
    <mergeCell ref="N1140:P1140"/>
    <mergeCell ref="Q1140:T1140"/>
    <mergeCell ref="U1140:Y1140"/>
    <mergeCell ref="E1150:J1150"/>
    <mergeCell ref="K1150:M1150"/>
    <mergeCell ref="N1150:P1150"/>
    <mergeCell ref="Q1150:T1150"/>
    <mergeCell ref="U1150:Y1150"/>
    <mergeCell ref="E1151:J1151"/>
    <mergeCell ref="K1151:M1151"/>
    <mergeCell ref="N1151:P1151"/>
    <mergeCell ref="Q1151:T1151"/>
    <mergeCell ref="U1151:Y1151"/>
    <mergeCell ref="N1146:P1146"/>
    <mergeCell ref="Q1146:T1146"/>
    <mergeCell ref="U1146:Y1146"/>
    <mergeCell ref="E1147:J1147"/>
    <mergeCell ref="K1147:M1147"/>
    <mergeCell ref="N1147:P1147"/>
    <mergeCell ref="Q1147:T1147"/>
    <mergeCell ref="P1721:T1721"/>
    <mergeCell ref="U1721:Y1721"/>
    <mergeCell ref="C1722:D1722"/>
    <mergeCell ref="E1722:L1722"/>
    <mergeCell ref="M1722:O1722"/>
    <mergeCell ref="P1722:T1722"/>
    <mergeCell ref="U1722:Y1722"/>
    <mergeCell ref="C1723:D1723"/>
    <mergeCell ref="E1723:L1723"/>
    <mergeCell ref="M1723:O1723"/>
    <mergeCell ref="P1723:T1723"/>
    <mergeCell ref="U1723:Y1723"/>
    <mergeCell ref="U1714:Y1714"/>
    <mergeCell ref="M1705:O1705"/>
    <mergeCell ref="P1705:T1705"/>
    <mergeCell ref="U1705:Y1705"/>
    <mergeCell ref="C1706:D1706"/>
    <mergeCell ref="E1706:L1706"/>
    <mergeCell ref="M1706:O1706"/>
    <mergeCell ref="P1706:T1706"/>
    <mergeCell ref="U1706:Y1706"/>
    <mergeCell ref="C1707:D1707"/>
    <mergeCell ref="E1707:L1707"/>
    <mergeCell ref="M1707:O1707"/>
    <mergeCell ref="P1707:T1707"/>
    <mergeCell ref="U1707:Y1707"/>
    <mergeCell ref="C1715:D1715"/>
    <mergeCell ref="E1715:L1715"/>
    <mergeCell ref="M1715:O1715"/>
    <mergeCell ref="P1715:T1715"/>
    <mergeCell ref="U1715:Y1715"/>
    <mergeCell ref="U1708:Y1708"/>
    <mergeCell ref="C1812:D1812"/>
    <mergeCell ref="E1812:J1812"/>
    <mergeCell ref="K1812:M1812"/>
    <mergeCell ref="N1812:P1812"/>
    <mergeCell ref="Q1812:Y1812"/>
    <mergeCell ref="C1756:D1756"/>
    <mergeCell ref="E1756:L1756"/>
    <mergeCell ref="M1756:P1756"/>
    <mergeCell ref="Q1756:Y1756"/>
    <mergeCell ref="C1769:D1769"/>
    <mergeCell ref="E1769:L1769"/>
    <mergeCell ref="M1769:P1769"/>
    <mergeCell ref="Q1769:Y1769"/>
    <mergeCell ref="C1758:D1758"/>
    <mergeCell ref="E1758:L1758"/>
    <mergeCell ref="M1758:P1758"/>
    <mergeCell ref="Q1758:Y1758"/>
    <mergeCell ref="C1759:D1759"/>
    <mergeCell ref="E1759:L1759"/>
    <mergeCell ref="M1759:P1759"/>
    <mergeCell ref="C1771:D1771"/>
    <mergeCell ref="E1771:L1771"/>
    <mergeCell ref="M1771:P1771"/>
    <mergeCell ref="Q1771:Y1771"/>
    <mergeCell ref="Q1759:Y1759"/>
    <mergeCell ref="C1760:D1760"/>
    <mergeCell ref="E1760:L1760"/>
    <mergeCell ref="M1760:P1760"/>
    <mergeCell ref="Q1760:Y1760"/>
    <mergeCell ref="C1761:D1761"/>
    <mergeCell ref="E1761:L1761"/>
    <mergeCell ref="M1761:P1761"/>
    <mergeCell ref="AH1630:AK1630"/>
    <mergeCell ref="Q546:S548"/>
    <mergeCell ref="L547:N548"/>
    <mergeCell ref="D537:X537"/>
    <mergeCell ref="L539:N539"/>
    <mergeCell ref="L541:N541"/>
    <mergeCell ref="L543:N543"/>
    <mergeCell ref="L545:N545"/>
    <mergeCell ref="L550:N550"/>
    <mergeCell ref="D541:F541"/>
    <mergeCell ref="D543:F543"/>
    <mergeCell ref="D545:F545"/>
    <mergeCell ref="D547:F547"/>
    <mergeCell ref="D550:F550"/>
    <mergeCell ref="D552:F552"/>
    <mergeCell ref="D554:F554"/>
    <mergeCell ref="K1260:M1260"/>
    <mergeCell ref="N1260:P1260"/>
    <mergeCell ref="Q1260:T1260"/>
    <mergeCell ref="U1260:Y1260"/>
    <mergeCell ref="E1119:M1119"/>
    <mergeCell ref="N1119:Y1119"/>
    <mergeCell ref="E1103:M1103"/>
    <mergeCell ref="N1103:Y1103"/>
    <mergeCell ref="U1255:Y1255"/>
    <mergeCell ref="E1256:J1256"/>
    <mergeCell ref="K1256:M1256"/>
    <mergeCell ref="N1256:P1256"/>
    <mergeCell ref="Q1256:T1256"/>
    <mergeCell ref="U1256:Y1256"/>
    <mergeCell ref="E1251:J1251"/>
    <mergeCell ref="N1143:P1143"/>
    <mergeCell ref="V541:X554"/>
    <mergeCell ref="V539:X539"/>
    <mergeCell ref="Q1888:Y1888"/>
    <mergeCell ref="C1889:D1889"/>
    <mergeCell ref="E1889:L1889"/>
    <mergeCell ref="M1889:P1889"/>
    <mergeCell ref="Q1889:Y1889"/>
    <mergeCell ref="AF1682:AI1682"/>
    <mergeCell ref="AF1688:AH1688"/>
    <mergeCell ref="AF1689:AH1689"/>
    <mergeCell ref="C1836:D1836"/>
    <mergeCell ref="E1836:J1836"/>
    <mergeCell ref="K1836:P1836"/>
    <mergeCell ref="Q1836:Y1836"/>
    <mergeCell ref="C1837:D1837"/>
    <mergeCell ref="E1837:J1837"/>
    <mergeCell ref="K1837:P1837"/>
    <mergeCell ref="Q1837:Y1837"/>
    <mergeCell ref="C1712:D1712"/>
    <mergeCell ref="E1712:L1712"/>
    <mergeCell ref="M1712:O1712"/>
    <mergeCell ref="P1712:T1712"/>
    <mergeCell ref="U1712:Y1712"/>
    <mergeCell ref="C1713:D1713"/>
    <mergeCell ref="E1713:L1713"/>
    <mergeCell ref="M1713:O1713"/>
    <mergeCell ref="P1713:T1713"/>
    <mergeCell ref="U1713:Y1713"/>
    <mergeCell ref="C1770:D1770"/>
    <mergeCell ref="C1887:D1887"/>
    <mergeCell ref="E1887:L1887"/>
    <mergeCell ref="AH1629:AK1629"/>
    <mergeCell ref="M1887:P1887"/>
    <mergeCell ref="Q1887:Y1887"/>
    <mergeCell ref="M1714:O1714"/>
    <mergeCell ref="P1714:T1714"/>
    <mergeCell ref="L552:N552"/>
    <mergeCell ref="L554:N554"/>
    <mergeCell ref="D539:F539"/>
    <mergeCell ref="C1714:D1714"/>
    <mergeCell ref="E1714:L1714"/>
    <mergeCell ref="N1156:P1156"/>
    <mergeCell ref="Q1156:T1156"/>
    <mergeCell ref="U1156:Y1156"/>
    <mergeCell ref="E1197:J1197"/>
    <mergeCell ref="K1197:M1197"/>
    <mergeCell ref="N1197:P1197"/>
    <mergeCell ref="Q1197:T1197"/>
    <mergeCell ref="U1197:Y1197"/>
    <mergeCell ref="E1243:J1243"/>
    <mergeCell ref="K1243:M1243"/>
    <mergeCell ref="N1243:P1243"/>
    <mergeCell ref="Q1243:T1243"/>
    <mergeCell ref="U1243:Y1243"/>
    <mergeCell ref="C1699:D1699"/>
    <mergeCell ref="E1699:L1699"/>
    <mergeCell ref="M1699:O1699"/>
    <mergeCell ref="P1699:T1699"/>
    <mergeCell ref="U1699:Y1699"/>
    <mergeCell ref="C1700:D1700"/>
    <mergeCell ref="E1700:L1700"/>
    <mergeCell ref="M1700:O1700"/>
    <mergeCell ref="P1700:T1700"/>
    <mergeCell ref="U1700:Y1700"/>
    <mergeCell ref="C1701:D1701"/>
    <mergeCell ref="E1701:L1701"/>
    <mergeCell ref="M1701:O1701"/>
    <mergeCell ref="P1701:T1701"/>
    <mergeCell ref="C1767:D1767"/>
    <mergeCell ref="E1767:L1767"/>
    <mergeCell ref="M1767:P1767"/>
    <mergeCell ref="U1710:Y1710"/>
    <mergeCell ref="C1711:D1711"/>
    <mergeCell ref="E1711:L1711"/>
    <mergeCell ref="M1711:O1711"/>
    <mergeCell ref="P1711:T1711"/>
    <mergeCell ref="U1711:Y1711"/>
    <mergeCell ref="U1701:Y1701"/>
    <mergeCell ref="C1702:D1702"/>
    <mergeCell ref="E1702:L1702"/>
    <mergeCell ref="M1702:O1702"/>
    <mergeCell ref="P1702:T1702"/>
    <mergeCell ref="U1702:Y1702"/>
    <mergeCell ref="C1764:D1764"/>
    <mergeCell ref="E1764:L1764"/>
    <mergeCell ref="M1764:P1764"/>
    <mergeCell ref="Q1764:Y1764"/>
    <mergeCell ref="C1765:D1765"/>
    <mergeCell ref="E1765:L1765"/>
    <mergeCell ref="M1765:P1765"/>
    <mergeCell ref="Q1765:Y1765"/>
    <mergeCell ref="C1766:D1766"/>
    <mergeCell ref="E1766:L1766"/>
    <mergeCell ref="M1766:P1766"/>
    <mergeCell ref="Q1766:Y1766"/>
    <mergeCell ref="C1710:D1710"/>
    <mergeCell ref="C1708:D1708"/>
    <mergeCell ref="E1708:L1708"/>
    <mergeCell ref="M1708:O1708"/>
    <mergeCell ref="P1708:T1708"/>
    <mergeCell ref="K1255:M1255"/>
    <mergeCell ref="N1255:P1255"/>
    <mergeCell ref="Q1255:T1255"/>
    <mergeCell ref="E1710:L1710"/>
    <mergeCell ref="M1710:O1710"/>
    <mergeCell ref="P1710:T1710"/>
    <mergeCell ref="E1253:J1253"/>
    <mergeCell ref="K1253:M1253"/>
    <mergeCell ref="N1253:P1253"/>
    <mergeCell ref="Q1253:T1253"/>
    <mergeCell ref="U1253:Y1253"/>
    <mergeCell ref="E1254:J1254"/>
    <mergeCell ref="K1254:M1254"/>
    <mergeCell ref="N1254:P1254"/>
    <mergeCell ref="Q1254:T1254"/>
    <mergeCell ref="U1254:Y1254"/>
    <mergeCell ref="E1265:M1265"/>
    <mergeCell ref="N1265:Y1265"/>
    <mergeCell ref="U1270:Y1270"/>
    <mergeCell ref="E1271:J1271"/>
    <mergeCell ref="K1271:M1271"/>
    <mergeCell ref="N1271:P1271"/>
    <mergeCell ref="Q1271:T1271"/>
    <mergeCell ref="U1271:Y1271"/>
    <mergeCell ref="N1259:P1259"/>
    <mergeCell ref="Q1259:T1259"/>
    <mergeCell ref="U1259:Y1259"/>
    <mergeCell ref="E1260:J1260"/>
    <mergeCell ref="C1709:D1709"/>
    <mergeCell ref="E1709:L1709"/>
    <mergeCell ref="M1709:O1709"/>
    <mergeCell ref="P1709:T1709"/>
    <mergeCell ref="U1709:Y1709"/>
    <mergeCell ref="N1263:P1263"/>
    <mergeCell ref="Q1263:T1263"/>
    <mergeCell ref="U1263:Y1263"/>
    <mergeCell ref="E1257:J1257"/>
    <mergeCell ref="K1257:M1257"/>
    <mergeCell ref="N1257:P1257"/>
    <mergeCell ref="Q1257:T1257"/>
    <mergeCell ref="U1257:Y1257"/>
    <mergeCell ref="E1258:J1258"/>
    <mergeCell ref="K1258:M1258"/>
    <mergeCell ref="N1258:P1258"/>
    <mergeCell ref="Q1258:T1258"/>
    <mergeCell ref="U1258:Y1258"/>
    <mergeCell ref="E1259:J1259"/>
    <mergeCell ref="K1259:M1259"/>
    <mergeCell ref="E1275:J1275"/>
    <mergeCell ref="K1275:M1275"/>
    <mergeCell ref="N1275:P1275"/>
    <mergeCell ref="K1273:M1273"/>
    <mergeCell ref="N1273:P1273"/>
    <mergeCell ref="Q1273:T1273"/>
    <mergeCell ref="U1273:Y1273"/>
    <mergeCell ref="E1274:J1274"/>
    <mergeCell ref="K1274:M1274"/>
    <mergeCell ref="N1274:P1274"/>
    <mergeCell ref="Q1274:T1274"/>
    <mergeCell ref="U1274:Y1274"/>
    <mergeCell ref="C1757:D1757"/>
    <mergeCell ref="E1757:L1757"/>
    <mergeCell ref="M1757:P1757"/>
    <mergeCell ref="Q1757:Y1757"/>
    <mergeCell ref="C1703:D1703"/>
    <mergeCell ref="E1703:L1703"/>
    <mergeCell ref="M1703:O1703"/>
    <mergeCell ref="P1703:T1703"/>
    <mergeCell ref="U1703:Y1703"/>
    <mergeCell ref="C1704:D1704"/>
    <mergeCell ref="E1704:L1704"/>
    <mergeCell ref="M1704:O1704"/>
    <mergeCell ref="P1704:T1704"/>
    <mergeCell ref="U1704:Y1704"/>
    <mergeCell ref="C1705:D1705"/>
    <mergeCell ref="E1705:L1705"/>
    <mergeCell ref="E1261:J1261"/>
    <mergeCell ref="K1261:M1261"/>
    <mergeCell ref="N1261:P1261"/>
    <mergeCell ref="Q1261:T1261"/>
    <mergeCell ref="U1261:Y1261"/>
    <mergeCell ref="E1262:J1262"/>
    <mergeCell ref="K1262:M1262"/>
    <mergeCell ref="N1262:P1262"/>
    <mergeCell ref="Q1262:T1262"/>
    <mergeCell ref="U1262:Y1262"/>
    <mergeCell ref="E1263:J1263"/>
    <mergeCell ref="K1263:M1263"/>
    <mergeCell ref="Q1275:T1275"/>
    <mergeCell ref="U1275:Y1275"/>
    <mergeCell ref="E1266:J1266"/>
    <mergeCell ref="K1266:M1266"/>
    <mergeCell ref="K1251:M1251"/>
    <mergeCell ref="N1251:P1251"/>
    <mergeCell ref="Q1251:T1251"/>
    <mergeCell ref="U1251:Y1251"/>
    <mergeCell ref="E1252:J1252"/>
    <mergeCell ref="K1252:M1252"/>
    <mergeCell ref="N1252:P1252"/>
    <mergeCell ref="Q1252:T1252"/>
    <mergeCell ref="E1248:J1248"/>
    <mergeCell ref="K1248:M1248"/>
    <mergeCell ref="N1248:P1248"/>
    <mergeCell ref="Q1248:T1248"/>
    <mergeCell ref="U1248:Y1248"/>
    <mergeCell ref="U1252:Y1252"/>
    <mergeCell ref="N1250:P1250"/>
    <mergeCell ref="Q1250:T1250"/>
    <mergeCell ref="U1250:Y1250"/>
    <mergeCell ref="E1249:J1249"/>
    <mergeCell ref="K1249:M1249"/>
    <mergeCell ref="N1249:P1249"/>
    <mergeCell ref="Q1249:T1249"/>
    <mergeCell ref="U1249:Y1249"/>
    <mergeCell ref="E1250:J1250"/>
    <mergeCell ref="K1250:M1250"/>
    <mergeCell ref="E1255:J1255"/>
    <mergeCell ref="E1198:M1198"/>
    <mergeCell ref="N1198:Y1198"/>
    <mergeCell ref="E1214:J1214"/>
    <mergeCell ref="K1214:M1214"/>
    <mergeCell ref="N1214:P1214"/>
    <mergeCell ref="Q1214:T1214"/>
    <mergeCell ref="U1214:Y1214"/>
    <mergeCell ref="E1207:J1207"/>
    <mergeCell ref="K1207:M1207"/>
    <mergeCell ref="N1207:P1207"/>
    <mergeCell ref="Q1207:T1207"/>
    <mergeCell ref="U1207:Y1207"/>
    <mergeCell ref="E1208:J1208"/>
    <mergeCell ref="K1208:M1208"/>
    <mergeCell ref="N1208:P1208"/>
    <mergeCell ref="Q1208:T1208"/>
    <mergeCell ref="U1208:Y1208"/>
    <mergeCell ref="E1209:J1209"/>
    <mergeCell ref="K1209:M1209"/>
    <mergeCell ref="U1209:Y1209"/>
    <mergeCell ref="U1203:Y1203"/>
    <mergeCell ref="E1204:J1204"/>
    <mergeCell ref="K1204:M1204"/>
    <mergeCell ref="N1204:P1204"/>
    <mergeCell ref="Q1204:T1204"/>
    <mergeCell ref="U1204:Y1204"/>
    <mergeCell ref="E1205:J1205"/>
    <mergeCell ref="K1205:M1205"/>
    <mergeCell ref="N1205:P1205"/>
    <mergeCell ref="Q1205:T1205"/>
    <mergeCell ref="U1205:Y1205"/>
    <mergeCell ref="E1206:J1206"/>
    <mergeCell ref="E1217:J1217"/>
    <mergeCell ref="K1217:M1217"/>
    <mergeCell ref="N1217:P1217"/>
    <mergeCell ref="Q1217:T1217"/>
    <mergeCell ref="U1217:Y1217"/>
    <mergeCell ref="E1247:J1247"/>
    <mergeCell ref="K1247:M1247"/>
    <mergeCell ref="N1247:P1247"/>
    <mergeCell ref="E1244:M1244"/>
    <mergeCell ref="N1244:Y1244"/>
    <mergeCell ref="E1245:J1245"/>
    <mergeCell ref="K1245:M1245"/>
    <mergeCell ref="N1245:P1245"/>
    <mergeCell ref="Q1245:T1245"/>
    <mergeCell ref="U1245:Y1245"/>
    <mergeCell ref="E1246:J1246"/>
    <mergeCell ref="K1246:M1246"/>
    <mergeCell ref="N1246:P1246"/>
    <mergeCell ref="Q1246:T1246"/>
    <mergeCell ref="U1246:Y1246"/>
    <mergeCell ref="E1219:J1219"/>
    <mergeCell ref="K1219:M1219"/>
    <mergeCell ref="N1219:P1219"/>
    <mergeCell ref="Q1219:T1219"/>
    <mergeCell ref="U1219:Y1219"/>
    <mergeCell ref="Q1247:T1247"/>
    <mergeCell ref="U1247:Y1247"/>
    <mergeCell ref="E1220:M1220"/>
    <mergeCell ref="N1220:Y1220"/>
    <mergeCell ref="E1221:J1221"/>
    <mergeCell ref="K1221:M1221"/>
    <mergeCell ref="N1221:P1221"/>
    <mergeCell ref="E1215:J1215"/>
    <mergeCell ref="K1215:M1215"/>
    <mergeCell ref="N1215:P1215"/>
    <mergeCell ref="Q1215:T1215"/>
    <mergeCell ref="U1215:Y1215"/>
    <mergeCell ref="E1216:J1216"/>
    <mergeCell ref="K1216:M1216"/>
    <mergeCell ref="N1216:P1216"/>
    <mergeCell ref="Q1216:T1216"/>
    <mergeCell ref="U1216:Y1216"/>
    <mergeCell ref="E1200:J1200"/>
    <mergeCell ref="K1200:M1200"/>
    <mergeCell ref="N1200:P1200"/>
    <mergeCell ref="Q1200:T1200"/>
    <mergeCell ref="U1200:Y1200"/>
    <mergeCell ref="E1201:J1201"/>
    <mergeCell ref="K1201:M1201"/>
    <mergeCell ref="N1201:P1201"/>
    <mergeCell ref="Q1201:T1201"/>
    <mergeCell ref="U1201:Y1201"/>
    <mergeCell ref="E1210:J1210"/>
    <mergeCell ref="K1210:M1210"/>
    <mergeCell ref="N1210:P1210"/>
    <mergeCell ref="Q1210:T1210"/>
    <mergeCell ref="U1210:Y1210"/>
    <mergeCell ref="E1211:J1211"/>
    <mergeCell ref="K1211:M1211"/>
    <mergeCell ref="N1211:P1211"/>
    <mergeCell ref="Q1211:T1211"/>
    <mergeCell ref="U1211:Y1211"/>
    <mergeCell ref="N1209:P1209"/>
    <mergeCell ref="Q1209:T1209"/>
    <mergeCell ref="E1199:J1199"/>
    <mergeCell ref="K1199:M1199"/>
    <mergeCell ref="N1199:P1199"/>
    <mergeCell ref="Q1199:T1199"/>
    <mergeCell ref="U1199:Y1199"/>
    <mergeCell ref="E1202:J1202"/>
    <mergeCell ref="K1202:M1202"/>
    <mergeCell ref="N1202:P1202"/>
    <mergeCell ref="Q1202:T1202"/>
    <mergeCell ref="U1202:Y1202"/>
    <mergeCell ref="E1203:J1203"/>
    <mergeCell ref="K1203:M1203"/>
    <mergeCell ref="E1269:J1269"/>
    <mergeCell ref="K1269:M1269"/>
    <mergeCell ref="N1269:P1269"/>
    <mergeCell ref="Q1269:T1269"/>
    <mergeCell ref="U1269:Y1269"/>
    <mergeCell ref="E1234:J1234"/>
    <mergeCell ref="K1234:M1234"/>
    <mergeCell ref="N1234:P1234"/>
    <mergeCell ref="Q1234:T1234"/>
    <mergeCell ref="U1234:Y1234"/>
    <mergeCell ref="E1235:J1235"/>
    <mergeCell ref="K1235:M1235"/>
    <mergeCell ref="N1235:P1235"/>
    <mergeCell ref="Q1221:T1221"/>
    <mergeCell ref="U1221:Y1221"/>
    <mergeCell ref="E1222:J1222"/>
    <mergeCell ref="K1222:M1222"/>
    <mergeCell ref="N1222:P1222"/>
    <mergeCell ref="Q1222:T1222"/>
    <mergeCell ref="U1222:Y1222"/>
    <mergeCell ref="E1270:J1270"/>
    <mergeCell ref="K1270:M1270"/>
    <mergeCell ref="N1270:P1270"/>
    <mergeCell ref="Q1270:T1270"/>
    <mergeCell ref="N1203:P1203"/>
    <mergeCell ref="Q1203:T1203"/>
    <mergeCell ref="K1206:M1206"/>
    <mergeCell ref="N1206:P1206"/>
    <mergeCell ref="Q1206:T1206"/>
    <mergeCell ref="U1206:Y1206"/>
    <mergeCell ref="E1212:J1212"/>
    <mergeCell ref="K1212:M1212"/>
    <mergeCell ref="N1212:P1212"/>
    <mergeCell ref="Q1212:T1212"/>
    <mergeCell ref="U1212:Y1212"/>
    <mergeCell ref="E1213:J1213"/>
    <mergeCell ref="K1213:M1213"/>
    <mergeCell ref="N1213:P1213"/>
    <mergeCell ref="Q1213:T1213"/>
    <mergeCell ref="U1213:Y1213"/>
    <mergeCell ref="K1224:M1224"/>
    <mergeCell ref="N1224:P1224"/>
    <mergeCell ref="Q1224:T1224"/>
    <mergeCell ref="U1224:Y1224"/>
    <mergeCell ref="E1225:J1225"/>
    <mergeCell ref="K1225:M1225"/>
    <mergeCell ref="N1225:P1225"/>
    <mergeCell ref="Q1225:T1225"/>
    <mergeCell ref="U1225:Y1225"/>
    <mergeCell ref="E1226:J1226"/>
    <mergeCell ref="Q1233:T1233"/>
    <mergeCell ref="E1184:J1184"/>
    <mergeCell ref="K1184:M1184"/>
    <mergeCell ref="N1184:P1184"/>
    <mergeCell ref="Q1184:T1184"/>
    <mergeCell ref="U1184:Y1184"/>
    <mergeCell ref="E1185:J1185"/>
    <mergeCell ref="K1185:M1185"/>
    <mergeCell ref="N1185:P1185"/>
    <mergeCell ref="Q1185:T1185"/>
    <mergeCell ref="U1185:Y1185"/>
    <mergeCell ref="E1190:J1190"/>
    <mergeCell ref="K1190:M1190"/>
    <mergeCell ref="N1190:P1190"/>
    <mergeCell ref="Q1190:T1190"/>
    <mergeCell ref="U1190:Y1190"/>
    <mergeCell ref="E1191:J1191"/>
    <mergeCell ref="K1191:M1191"/>
    <mergeCell ref="N1191:P1191"/>
    <mergeCell ref="U1191:Y1191"/>
    <mergeCell ref="E1189:J1189"/>
    <mergeCell ref="K1189:M1189"/>
    <mergeCell ref="N1189:P1189"/>
    <mergeCell ref="Q1189:T1189"/>
    <mergeCell ref="U1189:Y1189"/>
    <mergeCell ref="Q1188:T1188"/>
    <mergeCell ref="U1188:Y1188"/>
    <mergeCell ref="E1187:J1187"/>
    <mergeCell ref="K1187:M1187"/>
    <mergeCell ref="N1187:P1187"/>
    <mergeCell ref="Q1187:T1187"/>
    <mergeCell ref="U1187:Y1187"/>
    <mergeCell ref="E1194:J1194"/>
    <mergeCell ref="K1194:M1194"/>
    <mergeCell ref="N1194:P1194"/>
    <mergeCell ref="Q1194:T1194"/>
    <mergeCell ref="U1194:Y1194"/>
    <mergeCell ref="E1195:J1195"/>
    <mergeCell ref="E1180:J1180"/>
    <mergeCell ref="K1180:M1180"/>
    <mergeCell ref="N1180:P1180"/>
    <mergeCell ref="Q1180:T1180"/>
    <mergeCell ref="U1180:Y1180"/>
    <mergeCell ref="E1181:J1181"/>
    <mergeCell ref="K1181:M1181"/>
    <mergeCell ref="N1181:P1181"/>
    <mergeCell ref="Q1181:T1181"/>
    <mergeCell ref="U1181:Y1181"/>
    <mergeCell ref="E1182:J1182"/>
    <mergeCell ref="K1182:M1182"/>
    <mergeCell ref="N1182:P1182"/>
    <mergeCell ref="Q1182:T1182"/>
    <mergeCell ref="U1182:Y1182"/>
    <mergeCell ref="E1183:J1183"/>
    <mergeCell ref="K1183:M1183"/>
    <mergeCell ref="N1183:P1183"/>
    <mergeCell ref="Q1183:T1183"/>
    <mergeCell ref="K1195:M1195"/>
    <mergeCell ref="N1195:P1195"/>
    <mergeCell ref="Q1195:T1195"/>
    <mergeCell ref="U1195:Y1195"/>
    <mergeCell ref="E1188:J1188"/>
    <mergeCell ref="K1188:M1188"/>
    <mergeCell ref="N1188:P1188"/>
    <mergeCell ref="Q1174:T1174"/>
    <mergeCell ref="U1174:Y1174"/>
    <mergeCell ref="E1175:J1175"/>
    <mergeCell ref="K1175:M1175"/>
    <mergeCell ref="N1175:P1175"/>
    <mergeCell ref="Q1175:T1175"/>
    <mergeCell ref="U1175:Y1175"/>
    <mergeCell ref="E1176:J1176"/>
    <mergeCell ref="K1176:M1176"/>
    <mergeCell ref="N1176:P1176"/>
    <mergeCell ref="Q1176:T1176"/>
    <mergeCell ref="U1176:Y1176"/>
    <mergeCell ref="E1177:J1177"/>
    <mergeCell ref="K1177:M1177"/>
    <mergeCell ref="N1177:P1177"/>
    <mergeCell ref="Q1177:T1177"/>
    <mergeCell ref="U1177:Y1177"/>
    <mergeCell ref="E1193:J1193"/>
    <mergeCell ref="K1193:M1193"/>
    <mergeCell ref="N1193:P1193"/>
    <mergeCell ref="Q1193:T1193"/>
    <mergeCell ref="Q1191:T1191"/>
    <mergeCell ref="E1169:J1169"/>
    <mergeCell ref="K1169:M1169"/>
    <mergeCell ref="N1169:P1169"/>
    <mergeCell ref="Q1169:T1169"/>
    <mergeCell ref="U1169:Y1169"/>
    <mergeCell ref="E1170:J1170"/>
    <mergeCell ref="K1170:M1170"/>
    <mergeCell ref="N1170:P1170"/>
    <mergeCell ref="Q1170:T1170"/>
    <mergeCell ref="U1170:Y1170"/>
    <mergeCell ref="E1171:J1171"/>
    <mergeCell ref="K1171:M1171"/>
    <mergeCell ref="N1171:P1171"/>
    <mergeCell ref="Q1171:T1171"/>
    <mergeCell ref="U1171:Y1171"/>
    <mergeCell ref="E1172:J1172"/>
    <mergeCell ref="K1172:M1172"/>
    <mergeCell ref="N1172:P1172"/>
    <mergeCell ref="Q1172:T1172"/>
    <mergeCell ref="U1172:Y1172"/>
    <mergeCell ref="E1173:J1173"/>
    <mergeCell ref="K1173:M1173"/>
    <mergeCell ref="N1173:P1173"/>
    <mergeCell ref="Q1173:T1173"/>
    <mergeCell ref="U1173:Y1173"/>
    <mergeCell ref="E1174:J1174"/>
    <mergeCell ref="K1174:M1174"/>
    <mergeCell ref="E1139:J1139"/>
    <mergeCell ref="K1139:M1139"/>
    <mergeCell ref="N1139:P1139"/>
    <mergeCell ref="Q1139:T1139"/>
    <mergeCell ref="U1139:Y1139"/>
    <mergeCell ref="E1167:J1167"/>
    <mergeCell ref="K1167:M1167"/>
    <mergeCell ref="N1167:P1167"/>
    <mergeCell ref="Q1167:T1167"/>
    <mergeCell ref="U1167:Y1167"/>
    <mergeCell ref="E1168:J1168"/>
    <mergeCell ref="K1168:M1168"/>
    <mergeCell ref="N1168:P1168"/>
    <mergeCell ref="Q1168:T1168"/>
    <mergeCell ref="U1168:Y1168"/>
    <mergeCell ref="E1162:J1162"/>
    <mergeCell ref="K1162:M1162"/>
    <mergeCell ref="N1162:P1162"/>
    <mergeCell ref="Q1162:T1162"/>
    <mergeCell ref="U1162:Y1162"/>
    <mergeCell ref="E1163:J1163"/>
    <mergeCell ref="K1163:M1163"/>
    <mergeCell ref="N1163:P1163"/>
    <mergeCell ref="Q1163:T1163"/>
    <mergeCell ref="U1163:Y1163"/>
    <mergeCell ref="E1142:J1142"/>
    <mergeCell ref="K1142:M1142"/>
    <mergeCell ref="N1142:P1142"/>
    <mergeCell ref="Q1142:T1142"/>
    <mergeCell ref="U1142:Y1142"/>
    <mergeCell ref="E1143:J1143"/>
    <mergeCell ref="K1143:M1143"/>
    <mergeCell ref="E1135:J1135"/>
    <mergeCell ref="K1135:M1135"/>
    <mergeCell ref="N1135:P1135"/>
    <mergeCell ref="Q1135:T1135"/>
    <mergeCell ref="U1135:Y1135"/>
    <mergeCell ref="E1136:J1136"/>
    <mergeCell ref="K1136:M1136"/>
    <mergeCell ref="N1136:P1136"/>
    <mergeCell ref="Q1136:T1136"/>
    <mergeCell ref="U1136:Y1136"/>
    <mergeCell ref="E1137:J1137"/>
    <mergeCell ref="K1137:M1137"/>
    <mergeCell ref="N1137:P1137"/>
    <mergeCell ref="Q1137:T1137"/>
    <mergeCell ref="U1137:Y1137"/>
    <mergeCell ref="E1156:J1156"/>
    <mergeCell ref="K1156:M1156"/>
    <mergeCell ref="Q1144:T1144"/>
    <mergeCell ref="U1144:Y1144"/>
    <mergeCell ref="E1145:J1145"/>
    <mergeCell ref="K1145:M1145"/>
    <mergeCell ref="U1148:Y1148"/>
    <mergeCell ref="K1149:M1149"/>
    <mergeCell ref="N1149:P1149"/>
    <mergeCell ref="Q1149:T1149"/>
    <mergeCell ref="U1149:Y1149"/>
    <mergeCell ref="E1141:J1141"/>
    <mergeCell ref="E1138:J1138"/>
    <mergeCell ref="K1138:M1138"/>
    <mergeCell ref="N1138:P1138"/>
    <mergeCell ref="Q1138:T1138"/>
    <mergeCell ref="U1138:Y1138"/>
    <mergeCell ref="N1127:P1127"/>
    <mergeCell ref="Q1127:T1127"/>
    <mergeCell ref="U1127:Y1127"/>
    <mergeCell ref="E1128:J1128"/>
    <mergeCell ref="E1132:J1132"/>
    <mergeCell ref="K1132:M1132"/>
    <mergeCell ref="N1132:P1132"/>
    <mergeCell ref="Q1132:T1132"/>
    <mergeCell ref="U1132:Y1132"/>
    <mergeCell ref="E1133:J1133"/>
    <mergeCell ref="K1133:M1133"/>
    <mergeCell ref="N1133:P1133"/>
    <mergeCell ref="Q1133:T1133"/>
    <mergeCell ref="U1133:Y1133"/>
    <mergeCell ref="E1134:J1134"/>
    <mergeCell ref="K1134:M1134"/>
    <mergeCell ref="N1134:P1134"/>
    <mergeCell ref="Q1134:T1134"/>
    <mergeCell ref="U1134:Y1134"/>
    <mergeCell ref="U1193:Y1193"/>
    <mergeCell ref="E1192:J1192"/>
    <mergeCell ref="K1192:M1192"/>
    <mergeCell ref="N1192:P1192"/>
    <mergeCell ref="Q1192:T1192"/>
    <mergeCell ref="U1192:Y1192"/>
    <mergeCell ref="K1128:M1128"/>
    <mergeCell ref="N1128:P1128"/>
    <mergeCell ref="Q1128:T1128"/>
    <mergeCell ref="U1128:Y1128"/>
    <mergeCell ref="E1129:J1129"/>
    <mergeCell ref="K1129:M1129"/>
    <mergeCell ref="N1129:P1129"/>
    <mergeCell ref="Q1129:T1129"/>
    <mergeCell ref="U1129:Y1129"/>
    <mergeCell ref="E1126:J1126"/>
    <mergeCell ref="K1126:M1126"/>
    <mergeCell ref="E1130:J1130"/>
    <mergeCell ref="K1130:M1130"/>
    <mergeCell ref="N1130:P1130"/>
    <mergeCell ref="Q1130:T1130"/>
    <mergeCell ref="U1130:Y1130"/>
    <mergeCell ref="E1131:J1131"/>
    <mergeCell ref="K1131:M1131"/>
    <mergeCell ref="N1131:P1131"/>
    <mergeCell ref="Q1131:T1131"/>
    <mergeCell ref="U1131:Y1131"/>
    <mergeCell ref="N1126:P1126"/>
    <mergeCell ref="Q1126:T1126"/>
    <mergeCell ref="U1126:Y1126"/>
    <mergeCell ref="E1127:J1127"/>
    <mergeCell ref="K1127:M1127"/>
    <mergeCell ref="N1161:P1161"/>
    <mergeCell ref="Q1161:T1161"/>
    <mergeCell ref="U1161:Y1161"/>
    <mergeCell ref="E1186:J1186"/>
    <mergeCell ref="K1186:M1186"/>
    <mergeCell ref="N1186:P1186"/>
    <mergeCell ref="Q1186:T1186"/>
    <mergeCell ref="U1186:Y1186"/>
    <mergeCell ref="E1164:J1164"/>
    <mergeCell ref="K1164:M1164"/>
    <mergeCell ref="N1164:P1164"/>
    <mergeCell ref="Q1164:T1164"/>
    <mergeCell ref="U1164:Y1164"/>
    <mergeCell ref="E1165:J1165"/>
    <mergeCell ref="K1165:M1165"/>
    <mergeCell ref="N1165:P1165"/>
    <mergeCell ref="Q1165:T1165"/>
    <mergeCell ref="U1165:Y1165"/>
    <mergeCell ref="E1166:J1166"/>
    <mergeCell ref="K1166:M1166"/>
    <mergeCell ref="U1183:Y1183"/>
    <mergeCell ref="E1178:J1178"/>
    <mergeCell ref="K1178:M1178"/>
    <mergeCell ref="N1178:P1178"/>
    <mergeCell ref="Q1178:T1178"/>
    <mergeCell ref="U1178:Y1178"/>
    <mergeCell ref="E1179:J1179"/>
    <mergeCell ref="K1179:M1179"/>
    <mergeCell ref="N1179:P1179"/>
    <mergeCell ref="Q1179:T1179"/>
    <mergeCell ref="U1179:Y1179"/>
    <mergeCell ref="N1174:P1174"/>
    <mergeCell ref="E1153:J1153"/>
    <mergeCell ref="K1153:M1153"/>
    <mergeCell ref="N1153:P1153"/>
    <mergeCell ref="Q1153:T1153"/>
    <mergeCell ref="U1153:Y1153"/>
    <mergeCell ref="E1158:J1158"/>
    <mergeCell ref="K1158:M1158"/>
    <mergeCell ref="N1158:P1158"/>
    <mergeCell ref="Q1158:T1158"/>
    <mergeCell ref="U1158:Y1158"/>
    <mergeCell ref="N1166:P1166"/>
    <mergeCell ref="Q1166:T1166"/>
    <mergeCell ref="U1166:Y1166"/>
    <mergeCell ref="N1145:P1145"/>
    <mergeCell ref="Q1145:T1145"/>
    <mergeCell ref="U1145:Y1145"/>
    <mergeCell ref="E1146:J1146"/>
    <mergeCell ref="K1146:M1146"/>
    <mergeCell ref="E1157:M1157"/>
    <mergeCell ref="N1157:Y1157"/>
    <mergeCell ref="E1159:J1159"/>
    <mergeCell ref="K1159:M1159"/>
    <mergeCell ref="N1159:P1159"/>
    <mergeCell ref="Q1159:T1159"/>
    <mergeCell ref="U1159:Y1159"/>
    <mergeCell ref="E1160:J1160"/>
    <mergeCell ref="K1160:M1160"/>
    <mergeCell ref="N1160:P1160"/>
    <mergeCell ref="Q1160:T1160"/>
    <mergeCell ref="U1160:Y1160"/>
    <mergeCell ref="E1161:J1161"/>
    <mergeCell ref="K1161:M1161"/>
    <mergeCell ref="N1122:P1122"/>
    <mergeCell ref="Q1122:T1122"/>
    <mergeCell ref="U1122:Y1122"/>
    <mergeCell ref="E1123:J1123"/>
    <mergeCell ref="K1123:M1123"/>
    <mergeCell ref="N1123:P1123"/>
    <mergeCell ref="Q1123:T1123"/>
    <mergeCell ref="U1123:Y1123"/>
    <mergeCell ref="E1124:J1124"/>
    <mergeCell ref="K1124:M1124"/>
    <mergeCell ref="N1124:P1124"/>
    <mergeCell ref="Q1124:T1124"/>
    <mergeCell ref="U1124:Y1124"/>
    <mergeCell ref="E1125:J1125"/>
    <mergeCell ref="K1125:M1125"/>
    <mergeCell ref="N1125:P1125"/>
    <mergeCell ref="Q1125:T1125"/>
    <mergeCell ref="U1125:Y1125"/>
    <mergeCell ref="N1266:P1266"/>
    <mergeCell ref="Q1266:T1266"/>
    <mergeCell ref="U1266:Y1266"/>
    <mergeCell ref="E1267:J1267"/>
    <mergeCell ref="K1267:M1267"/>
    <mergeCell ref="N1267:P1267"/>
    <mergeCell ref="Q1267:T1267"/>
    <mergeCell ref="U1267:Y1267"/>
    <mergeCell ref="AG1844:AH1844"/>
    <mergeCell ref="C1808:D1808"/>
    <mergeCell ref="E1808:J1808"/>
    <mergeCell ref="K1808:M1808"/>
    <mergeCell ref="N1808:P1808"/>
    <mergeCell ref="Q1808:Y1808"/>
    <mergeCell ref="C1809:D1809"/>
    <mergeCell ref="E1809:J1809"/>
    <mergeCell ref="K1809:M1809"/>
    <mergeCell ref="N1809:P1809"/>
    <mergeCell ref="Q1809:Y1809"/>
    <mergeCell ref="E1272:J1272"/>
    <mergeCell ref="K1272:M1272"/>
    <mergeCell ref="N1272:P1272"/>
    <mergeCell ref="Q1272:T1272"/>
    <mergeCell ref="U1272:Y1272"/>
    <mergeCell ref="E1273:J1273"/>
    <mergeCell ref="E1280:J1280"/>
    <mergeCell ref="K1280:M1280"/>
    <mergeCell ref="N1280:P1280"/>
    <mergeCell ref="Q1280:T1280"/>
    <mergeCell ref="U1280:Y1280"/>
    <mergeCell ref="E1278:J1278"/>
    <mergeCell ref="K1278:M1278"/>
    <mergeCell ref="N1278:P1278"/>
    <mergeCell ref="Q1278:T1278"/>
    <mergeCell ref="U1278:Y1278"/>
    <mergeCell ref="E1279:J1279"/>
    <mergeCell ref="K1279:M1279"/>
    <mergeCell ref="N1279:P1279"/>
    <mergeCell ref="Q1279:T1279"/>
    <mergeCell ref="U1279:Y1279"/>
    <mergeCell ref="E1276:J1276"/>
    <mergeCell ref="K1276:M1276"/>
    <mergeCell ref="N1276:P1276"/>
    <mergeCell ref="Q1276:T1276"/>
    <mergeCell ref="U1276:Y1276"/>
    <mergeCell ref="E1277:J1277"/>
    <mergeCell ref="K1277:M1277"/>
    <mergeCell ref="N1277:P1277"/>
    <mergeCell ref="Q1277:T1277"/>
    <mergeCell ref="U1277:Y1277"/>
    <mergeCell ref="E1115:J1115"/>
    <mergeCell ref="K1115:M1115"/>
    <mergeCell ref="N1115:P1115"/>
    <mergeCell ref="Q1115:T1115"/>
    <mergeCell ref="U1115:Y1115"/>
    <mergeCell ref="E1112:J1112"/>
    <mergeCell ref="K1112:M1112"/>
    <mergeCell ref="N1112:P1112"/>
    <mergeCell ref="Q1112:T1112"/>
    <mergeCell ref="U1112:Y1112"/>
    <mergeCell ref="E1113:J1113"/>
    <mergeCell ref="K1113:M1113"/>
    <mergeCell ref="N1113:P1113"/>
    <mergeCell ref="Q1113:T1113"/>
    <mergeCell ref="U1113:Y1113"/>
    <mergeCell ref="E1268:J1268"/>
    <mergeCell ref="K1268:M1268"/>
    <mergeCell ref="N1268:P1268"/>
    <mergeCell ref="Q1268:T1268"/>
    <mergeCell ref="U1268:Y1268"/>
    <mergeCell ref="E1120:J1120"/>
    <mergeCell ref="K1120:M1120"/>
    <mergeCell ref="N1120:P1120"/>
    <mergeCell ref="Q1120:T1120"/>
    <mergeCell ref="U1120:Y1120"/>
    <mergeCell ref="E1121:J1121"/>
    <mergeCell ref="K1121:M1121"/>
    <mergeCell ref="N1121:P1121"/>
    <mergeCell ref="Q1121:T1121"/>
    <mergeCell ref="U1121:Y1121"/>
    <mergeCell ref="E1122:J1122"/>
    <mergeCell ref="K1122:M1122"/>
    <mergeCell ref="E1111:J1111"/>
    <mergeCell ref="K1111:M1111"/>
    <mergeCell ref="N1111:P1111"/>
    <mergeCell ref="Q1111:T1111"/>
    <mergeCell ref="U1111:Y1111"/>
    <mergeCell ref="E1108:J1108"/>
    <mergeCell ref="K1108:M1108"/>
    <mergeCell ref="N1108:P1108"/>
    <mergeCell ref="Q1108:T1108"/>
    <mergeCell ref="U1108:Y1108"/>
    <mergeCell ref="E1109:J1109"/>
    <mergeCell ref="K1109:M1109"/>
    <mergeCell ref="N1109:P1109"/>
    <mergeCell ref="Q1109:T1109"/>
    <mergeCell ref="U1109:Y1109"/>
    <mergeCell ref="E1114:J1114"/>
    <mergeCell ref="K1114:M1114"/>
    <mergeCell ref="N1114:P1114"/>
    <mergeCell ref="Q1114:T1114"/>
    <mergeCell ref="U1114:Y1114"/>
    <mergeCell ref="E1105:J1105"/>
    <mergeCell ref="N1105:P1105"/>
    <mergeCell ref="Q1105:T1105"/>
    <mergeCell ref="U1105:Y1105"/>
    <mergeCell ref="E1107:J1107"/>
    <mergeCell ref="K1107:M1107"/>
    <mergeCell ref="N1107:P1107"/>
    <mergeCell ref="Q1107:T1107"/>
    <mergeCell ref="U1107:Y1107"/>
    <mergeCell ref="E1104:J1104"/>
    <mergeCell ref="K1104:M1104"/>
    <mergeCell ref="N1104:P1104"/>
    <mergeCell ref="Q1104:T1104"/>
    <mergeCell ref="U1104:Y1104"/>
    <mergeCell ref="E1110:J1110"/>
    <mergeCell ref="K1110:M1110"/>
    <mergeCell ref="N1110:P1110"/>
    <mergeCell ref="Q1110:T1110"/>
    <mergeCell ref="U1110:Y1110"/>
    <mergeCell ref="E1106:J1106"/>
    <mergeCell ref="K1106:M1106"/>
    <mergeCell ref="N1106:P1106"/>
    <mergeCell ref="Q1106:T1106"/>
    <mergeCell ref="U1106:Y1106"/>
    <mergeCell ref="K1105:L1105"/>
    <mergeCell ref="D1085:Y1085"/>
    <mergeCell ref="D1089:Y1089"/>
    <mergeCell ref="D1100:Y1100"/>
    <mergeCell ref="E1102:J1102"/>
    <mergeCell ref="U1102:Y1102"/>
    <mergeCell ref="K1102:M1102"/>
    <mergeCell ref="N1102:P1102"/>
    <mergeCell ref="Q1102:T1102"/>
    <mergeCell ref="D1082:E1082"/>
    <mergeCell ref="F1082:L1082"/>
    <mergeCell ref="M1082:R1082"/>
    <mergeCell ref="S1082:Y1082"/>
    <mergeCell ref="D1083:E1083"/>
    <mergeCell ref="F1083:L1083"/>
    <mergeCell ref="M1083:R1083"/>
    <mergeCell ref="S1083:Y1083"/>
    <mergeCell ref="D1080:E1080"/>
    <mergeCell ref="D1081:E1081"/>
    <mergeCell ref="F1081:L1081"/>
    <mergeCell ref="M1081:R1081"/>
    <mergeCell ref="S1081:Y1081"/>
    <mergeCell ref="F1080:Y1080"/>
    <mergeCell ref="D1078:E1078"/>
    <mergeCell ref="F1078:L1078"/>
    <mergeCell ref="M1078:R1078"/>
    <mergeCell ref="S1078:Y1078"/>
    <mergeCell ref="D1079:E1079"/>
    <mergeCell ref="F1079:L1079"/>
    <mergeCell ref="M1079:R1079"/>
    <mergeCell ref="S1079:Y1079"/>
    <mergeCell ref="D1076:E1076"/>
    <mergeCell ref="F1076:L1076"/>
    <mergeCell ref="M1076:R1076"/>
    <mergeCell ref="S1076:Y1076"/>
    <mergeCell ref="D1077:E1077"/>
    <mergeCell ref="F1077:Y1077"/>
    <mergeCell ref="D1073:E1073"/>
    <mergeCell ref="D1074:E1074"/>
    <mergeCell ref="F1074:L1074"/>
    <mergeCell ref="M1074:R1074"/>
    <mergeCell ref="S1074:Y1074"/>
    <mergeCell ref="F1073:Y1073"/>
    <mergeCell ref="D1071:E1071"/>
    <mergeCell ref="F1071:L1071"/>
    <mergeCell ref="M1071:R1071"/>
    <mergeCell ref="S1071:Y1071"/>
    <mergeCell ref="D1072:E1072"/>
    <mergeCell ref="F1072:L1072"/>
    <mergeCell ref="M1072:R1072"/>
    <mergeCell ref="S1072:Y1072"/>
    <mergeCell ref="D1068:E1068"/>
    <mergeCell ref="F1068:L1068"/>
    <mergeCell ref="M1068:R1068"/>
    <mergeCell ref="S1068:Y1068"/>
    <mergeCell ref="D1069:E1069"/>
    <mergeCell ref="F1069:Y1069"/>
    <mergeCell ref="D1061:N1061"/>
    <mergeCell ref="O1061:Y1061"/>
    <mergeCell ref="D1066:N1066"/>
    <mergeCell ref="O1066:Y1066"/>
    <mergeCell ref="D1062:Y1062"/>
    <mergeCell ref="D1058:N1058"/>
    <mergeCell ref="O1058:Y1058"/>
    <mergeCell ref="D1059:N1059"/>
    <mergeCell ref="O1059:Y1059"/>
    <mergeCell ref="D1060:N1060"/>
    <mergeCell ref="O1060:Y1060"/>
    <mergeCell ref="D1055:N1055"/>
    <mergeCell ref="O1055:Y1055"/>
    <mergeCell ref="D1056:N1056"/>
    <mergeCell ref="O1056:Y1056"/>
    <mergeCell ref="D1057:N1057"/>
    <mergeCell ref="O1057:Y1057"/>
    <mergeCell ref="D1052:N1052"/>
    <mergeCell ref="O1052:Y1052"/>
    <mergeCell ref="D1053:N1053"/>
    <mergeCell ref="O1053:Y1053"/>
    <mergeCell ref="D1054:N1054"/>
    <mergeCell ref="O1054:Y1054"/>
    <mergeCell ref="J1038:Q1038"/>
    <mergeCell ref="E1039:I1039"/>
    <mergeCell ref="J1039:Q1039"/>
    <mergeCell ref="R1036:Y1036"/>
    <mergeCell ref="R1037:Y1037"/>
    <mergeCell ref="E1036:I1036"/>
    <mergeCell ref="J1036:Q1036"/>
    <mergeCell ref="E1037:I1037"/>
    <mergeCell ref="J1037:Q1037"/>
    <mergeCell ref="R1034:Y1034"/>
    <mergeCell ref="R1035:Y1035"/>
    <mergeCell ref="E1034:I1034"/>
    <mergeCell ref="J1034:Q1034"/>
    <mergeCell ref="E1035:I1035"/>
    <mergeCell ref="J1035:Q1035"/>
    <mergeCell ref="R1032:Y1032"/>
    <mergeCell ref="R1033:Y1033"/>
    <mergeCell ref="J1032:Q1032"/>
    <mergeCell ref="E1033:I1033"/>
    <mergeCell ref="R1029:Y1029"/>
    <mergeCell ref="R1030:Y1030"/>
    <mergeCell ref="R1031:Y1031"/>
    <mergeCell ref="E1019:M1019"/>
    <mergeCell ref="N1019:Y1019"/>
    <mergeCell ref="D1027:Y1027"/>
    <mergeCell ref="D1028:Y1028"/>
    <mergeCell ref="E1016:M1016"/>
    <mergeCell ref="N1016:Y1016"/>
    <mergeCell ref="E1017:M1017"/>
    <mergeCell ref="N1017:Y1017"/>
    <mergeCell ref="E1018:M1018"/>
    <mergeCell ref="N1018:Y1018"/>
    <mergeCell ref="S1007:U1007"/>
    <mergeCell ref="V1007:X1007"/>
    <mergeCell ref="O1013:R1013"/>
    <mergeCell ref="S1013:U1013"/>
    <mergeCell ref="V1013:X1013"/>
    <mergeCell ref="E1015:M1015"/>
    <mergeCell ref="N1015:Y1015"/>
    <mergeCell ref="S1011:U1011"/>
    <mergeCell ref="V1011:X1011"/>
    <mergeCell ref="O1012:R1012"/>
    <mergeCell ref="S1012:U1012"/>
    <mergeCell ref="V1012:X1012"/>
    <mergeCell ref="E1029:I1029"/>
    <mergeCell ref="J1029:Q1029"/>
    <mergeCell ref="E1030:I1030"/>
    <mergeCell ref="J1030:Q1030"/>
    <mergeCell ref="E1031:I1031"/>
    <mergeCell ref="J1031:Q1031"/>
    <mergeCell ref="E1003:M1003"/>
    <mergeCell ref="N1003:Y1003"/>
    <mergeCell ref="E1004:M1004"/>
    <mergeCell ref="N1004:Y1004"/>
    <mergeCell ref="D1005:D1014"/>
    <mergeCell ref="E1005:M1014"/>
    <mergeCell ref="O1006:R1006"/>
    <mergeCell ref="S1006:U1006"/>
    <mergeCell ref="V1006:X1006"/>
    <mergeCell ref="O1007:R1007"/>
    <mergeCell ref="E1000:M1000"/>
    <mergeCell ref="N1000:Y1000"/>
    <mergeCell ref="E1001:M1001"/>
    <mergeCell ref="N1001:Y1001"/>
    <mergeCell ref="E1002:M1002"/>
    <mergeCell ref="N1002:Y1002"/>
    <mergeCell ref="E997:M997"/>
    <mergeCell ref="N997:Y997"/>
    <mergeCell ref="E998:M998"/>
    <mergeCell ref="N998:Y998"/>
    <mergeCell ref="E999:M999"/>
    <mergeCell ref="N999:Y999"/>
    <mergeCell ref="O1008:R1008"/>
    <mergeCell ref="S1008:U1008"/>
    <mergeCell ref="V1008:X1008"/>
    <mergeCell ref="O1009:R1009"/>
    <mergeCell ref="S1009:U1009"/>
    <mergeCell ref="V1009:X1009"/>
    <mergeCell ref="O1010:R1010"/>
    <mergeCell ref="S1010:U1010"/>
    <mergeCell ref="V1010:X1010"/>
    <mergeCell ref="O1011:R1011"/>
    <mergeCell ref="E987:M987"/>
    <mergeCell ref="N987:Y987"/>
    <mergeCell ref="E995:M995"/>
    <mergeCell ref="N995:Y995"/>
    <mergeCell ref="E996:M996"/>
    <mergeCell ref="N996:Y996"/>
    <mergeCell ref="E984:M984"/>
    <mergeCell ref="N984:Y984"/>
    <mergeCell ref="E985:M985"/>
    <mergeCell ref="N985:Y985"/>
    <mergeCell ref="E986:M986"/>
    <mergeCell ref="N986:Y986"/>
    <mergeCell ref="S976:U976"/>
    <mergeCell ref="V976:X976"/>
    <mergeCell ref="O981:R981"/>
    <mergeCell ref="S981:U981"/>
    <mergeCell ref="V981:X981"/>
    <mergeCell ref="E983:M983"/>
    <mergeCell ref="N983:Y983"/>
    <mergeCell ref="S980:U980"/>
    <mergeCell ref="V980:X980"/>
    <mergeCell ref="E972:M972"/>
    <mergeCell ref="N972:Y972"/>
    <mergeCell ref="E973:M973"/>
    <mergeCell ref="N973:Y973"/>
    <mergeCell ref="D974:D982"/>
    <mergeCell ref="E974:M982"/>
    <mergeCell ref="O975:R975"/>
    <mergeCell ref="S975:U975"/>
    <mergeCell ref="V975:X975"/>
    <mergeCell ref="O976:R976"/>
    <mergeCell ref="E969:M969"/>
    <mergeCell ref="N969:Y969"/>
    <mergeCell ref="E970:M970"/>
    <mergeCell ref="N970:Y970"/>
    <mergeCell ref="E971:M971"/>
    <mergeCell ref="N971:Y971"/>
    <mergeCell ref="E966:M966"/>
    <mergeCell ref="N966:Y966"/>
    <mergeCell ref="E967:M967"/>
    <mergeCell ref="N967:Y967"/>
    <mergeCell ref="E968:M968"/>
    <mergeCell ref="N968:Y968"/>
    <mergeCell ref="O977:R977"/>
    <mergeCell ref="S977:U977"/>
    <mergeCell ref="V977:X977"/>
    <mergeCell ref="O978:R978"/>
    <mergeCell ref="S978:U978"/>
    <mergeCell ref="V978:X978"/>
    <mergeCell ref="O979:R979"/>
    <mergeCell ref="S979:U979"/>
    <mergeCell ref="V979:X979"/>
    <mergeCell ref="O980:R980"/>
    <mergeCell ref="E957:M957"/>
    <mergeCell ref="N957:Y957"/>
    <mergeCell ref="E964:M964"/>
    <mergeCell ref="N964:Y964"/>
    <mergeCell ref="E965:M965"/>
    <mergeCell ref="N965:Y965"/>
    <mergeCell ref="E954:M954"/>
    <mergeCell ref="N954:Y954"/>
    <mergeCell ref="E955:M955"/>
    <mergeCell ref="N955:Y955"/>
    <mergeCell ref="E956:M956"/>
    <mergeCell ref="N956:Y956"/>
    <mergeCell ref="S947:U947"/>
    <mergeCell ref="V947:X947"/>
    <mergeCell ref="O951:R951"/>
    <mergeCell ref="S951:U951"/>
    <mergeCell ref="V951:X951"/>
    <mergeCell ref="E953:M953"/>
    <mergeCell ref="N953:Y953"/>
    <mergeCell ref="E943:M943"/>
    <mergeCell ref="N943:Y943"/>
    <mergeCell ref="E944:M944"/>
    <mergeCell ref="N944:Y944"/>
    <mergeCell ref="D945:D952"/>
    <mergeCell ref="E945:M952"/>
    <mergeCell ref="O946:R946"/>
    <mergeCell ref="S946:U946"/>
    <mergeCell ref="V946:X946"/>
    <mergeCell ref="O947:R947"/>
    <mergeCell ref="E940:M940"/>
    <mergeCell ref="N940:Y940"/>
    <mergeCell ref="E941:M941"/>
    <mergeCell ref="N941:Y941"/>
    <mergeCell ref="E942:M942"/>
    <mergeCell ref="N942:Y942"/>
    <mergeCell ref="E937:M937"/>
    <mergeCell ref="N937:Y937"/>
    <mergeCell ref="E938:M938"/>
    <mergeCell ref="N938:Y938"/>
    <mergeCell ref="E939:M939"/>
    <mergeCell ref="N939:Y939"/>
    <mergeCell ref="O948:R948"/>
    <mergeCell ref="S948:U948"/>
    <mergeCell ref="V948:X948"/>
    <mergeCell ref="O949:R949"/>
    <mergeCell ref="S949:U949"/>
    <mergeCell ref="V949:X949"/>
    <mergeCell ref="O950:R950"/>
    <mergeCell ref="S950:U950"/>
    <mergeCell ref="V950:X950"/>
    <mergeCell ref="E927:M927"/>
    <mergeCell ref="N927:Y927"/>
    <mergeCell ref="E935:M935"/>
    <mergeCell ref="N935:Y935"/>
    <mergeCell ref="E936:M936"/>
    <mergeCell ref="N936:Y936"/>
    <mergeCell ref="E924:M924"/>
    <mergeCell ref="N924:Y924"/>
    <mergeCell ref="E925:M925"/>
    <mergeCell ref="N925:Y925"/>
    <mergeCell ref="E926:M926"/>
    <mergeCell ref="N926:Y926"/>
    <mergeCell ref="S914:U914"/>
    <mergeCell ref="V914:X914"/>
    <mergeCell ref="O921:R921"/>
    <mergeCell ref="S921:U921"/>
    <mergeCell ref="V921:X921"/>
    <mergeCell ref="E923:M923"/>
    <mergeCell ref="N923:Y923"/>
    <mergeCell ref="D912:D922"/>
    <mergeCell ref="E912:M922"/>
    <mergeCell ref="O913:R913"/>
    <mergeCell ref="S913:U913"/>
    <mergeCell ref="V913:X913"/>
    <mergeCell ref="O914:R914"/>
    <mergeCell ref="E907:M907"/>
    <mergeCell ref="N907:Y907"/>
    <mergeCell ref="E908:M908"/>
    <mergeCell ref="N908:Y908"/>
    <mergeCell ref="E909:M909"/>
    <mergeCell ref="N909:Y909"/>
    <mergeCell ref="E904:M904"/>
    <mergeCell ref="N904:Y904"/>
    <mergeCell ref="E905:M905"/>
    <mergeCell ref="N905:Y905"/>
    <mergeCell ref="E906:M906"/>
    <mergeCell ref="N906:Y906"/>
    <mergeCell ref="O920:R920"/>
    <mergeCell ref="S920:U920"/>
    <mergeCell ref="V920:X920"/>
    <mergeCell ref="E910:M910"/>
    <mergeCell ref="E911:M911"/>
    <mergeCell ref="E897:M897"/>
    <mergeCell ref="N897:Y897"/>
    <mergeCell ref="E902:M902"/>
    <mergeCell ref="N902:Y902"/>
    <mergeCell ref="E903:M903"/>
    <mergeCell ref="N903:Y903"/>
    <mergeCell ref="O891:R891"/>
    <mergeCell ref="S891:U891"/>
    <mergeCell ref="V891:X891"/>
    <mergeCell ref="N896:Y896"/>
    <mergeCell ref="O876:R876"/>
    <mergeCell ref="S876:U876"/>
    <mergeCell ref="V876:X876"/>
    <mergeCell ref="O877:R877"/>
    <mergeCell ref="S877:U877"/>
    <mergeCell ref="V877:X877"/>
    <mergeCell ref="E893:M893"/>
    <mergeCell ref="N893:Y893"/>
    <mergeCell ref="N894:Y894"/>
    <mergeCell ref="N895:Y895"/>
    <mergeCell ref="E875:M892"/>
    <mergeCell ref="D875:D892"/>
    <mergeCell ref="E873:M873"/>
    <mergeCell ref="N873:Y873"/>
    <mergeCell ref="E874:M874"/>
    <mergeCell ref="N874:Y874"/>
    <mergeCell ref="E870:M870"/>
    <mergeCell ref="N870:Y870"/>
    <mergeCell ref="E871:M871"/>
    <mergeCell ref="N871:Y871"/>
    <mergeCell ref="E872:M872"/>
    <mergeCell ref="N872:Y872"/>
    <mergeCell ref="E867:M867"/>
    <mergeCell ref="N867:Y867"/>
    <mergeCell ref="E868:M868"/>
    <mergeCell ref="N868:Y868"/>
    <mergeCell ref="E869:M869"/>
    <mergeCell ref="N869:Y869"/>
    <mergeCell ref="S887:U887"/>
    <mergeCell ref="V887:X887"/>
    <mergeCell ref="O888:R888"/>
    <mergeCell ref="S888:U888"/>
    <mergeCell ref="V888:X888"/>
    <mergeCell ref="O889:R889"/>
    <mergeCell ref="S889:U889"/>
    <mergeCell ref="V889:X889"/>
    <mergeCell ref="O890:R890"/>
    <mergeCell ref="S890:U890"/>
    <mergeCell ref="V890:X890"/>
    <mergeCell ref="D709:Y709"/>
    <mergeCell ref="D862:Y862"/>
    <mergeCell ref="E865:M865"/>
    <mergeCell ref="N865:Y865"/>
    <mergeCell ref="E866:M866"/>
    <mergeCell ref="N866:Y866"/>
    <mergeCell ref="E699:J699"/>
    <mergeCell ref="K699:L699"/>
    <mergeCell ref="N699:O699"/>
    <mergeCell ref="Q699:R699"/>
    <mergeCell ref="T699:U699"/>
    <mergeCell ref="W699:X699"/>
    <mergeCell ref="E698:J698"/>
    <mergeCell ref="K698:L698"/>
    <mergeCell ref="N698:O698"/>
    <mergeCell ref="Q698:R698"/>
    <mergeCell ref="T698:U698"/>
    <mergeCell ref="W698:X698"/>
    <mergeCell ref="D863:Y863"/>
    <mergeCell ref="D711:X711"/>
    <mergeCell ref="D713:F713"/>
    <mergeCell ref="J713:P713"/>
    <mergeCell ref="V713:X713"/>
    <mergeCell ref="D715:F715"/>
    <mergeCell ref="L715:N715"/>
    <mergeCell ref="Q715:S715"/>
    <mergeCell ref="V715:X730"/>
    <mergeCell ref="D717:F717"/>
    <mergeCell ref="L717:N717"/>
    <mergeCell ref="Q717:S717"/>
    <mergeCell ref="D719:F719"/>
    <mergeCell ref="L719:N719"/>
    <mergeCell ref="E697:J697"/>
    <mergeCell ref="K697:L697"/>
    <mergeCell ref="N697:O697"/>
    <mergeCell ref="Q697:R697"/>
    <mergeCell ref="T697:U697"/>
    <mergeCell ref="W697:X697"/>
    <mergeCell ref="E696:J696"/>
    <mergeCell ref="K696:L696"/>
    <mergeCell ref="N696:O696"/>
    <mergeCell ref="Q696:R696"/>
    <mergeCell ref="T696:U696"/>
    <mergeCell ref="W696:X696"/>
    <mergeCell ref="E695:J695"/>
    <mergeCell ref="K695:L695"/>
    <mergeCell ref="N695:O695"/>
    <mergeCell ref="Q695:R695"/>
    <mergeCell ref="T695:U695"/>
    <mergeCell ref="W695:X695"/>
    <mergeCell ref="E694:J694"/>
    <mergeCell ref="K694:L694"/>
    <mergeCell ref="N694:O694"/>
    <mergeCell ref="Q694:R694"/>
    <mergeCell ref="T694:U694"/>
    <mergeCell ref="W694:X694"/>
    <mergeCell ref="E693:J693"/>
    <mergeCell ref="K693:L693"/>
    <mergeCell ref="N693:O693"/>
    <mergeCell ref="Q693:R693"/>
    <mergeCell ref="T693:U693"/>
    <mergeCell ref="W693:X693"/>
    <mergeCell ref="E692:J692"/>
    <mergeCell ref="K692:L692"/>
    <mergeCell ref="N692:O692"/>
    <mergeCell ref="Q692:R692"/>
    <mergeCell ref="T692:U692"/>
    <mergeCell ref="W692:X692"/>
    <mergeCell ref="E691:J691"/>
    <mergeCell ref="K691:L691"/>
    <mergeCell ref="N691:O691"/>
    <mergeCell ref="Q691:R691"/>
    <mergeCell ref="T691:U691"/>
    <mergeCell ref="W691:X691"/>
    <mergeCell ref="E690:J690"/>
    <mergeCell ref="K690:L690"/>
    <mergeCell ref="N690:O690"/>
    <mergeCell ref="Q690:R690"/>
    <mergeCell ref="T690:U690"/>
    <mergeCell ref="W690:X690"/>
    <mergeCell ref="E689:J689"/>
    <mergeCell ref="K689:L689"/>
    <mergeCell ref="N689:O689"/>
    <mergeCell ref="Q689:R689"/>
    <mergeCell ref="T689:U689"/>
    <mergeCell ref="W689:X689"/>
    <mergeCell ref="E688:J688"/>
    <mergeCell ref="K688:L688"/>
    <mergeCell ref="N688:O688"/>
    <mergeCell ref="Q688:R688"/>
    <mergeCell ref="T688:U688"/>
    <mergeCell ref="W688:X688"/>
    <mergeCell ref="E687:J687"/>
    <mergeCell ref="K687:L687"/>
    <mergeCell ref="N687:O687"/>
    <mergeCell ref="Q687:R687"/>
    <mergeCell ref="T687:U687"/>
    <mergeCell ref="W687:X687"/>
    <mergeCell ref="E686:J686"/>
    <mergeCell ref="K686:L686"/>
    <mergeCell ref="N686:O686"/>
    <mergeCell ref="Q686:R686"/>
    <mergeCell ref="T686:U686"/>
    <mergeCell ref="W686:X686"/>
    <mergeCell ref="K681:M681"/>
    <mergeCell ref="K680:Y680"/>
    <mergeCell ref="E680:J682"/>
    <mergeCell ref="D680:D682"/>
    <mergeCell ref="E685:J685"/>
    <mergeCell ref="K685:L685"/>
    <mergeCell ref="N685:O685"/>
    <mergeCell ref="Q685:R685"/>
    <mergeCell ref="T685:U685"/>
    <mergeCell ref="W685:X685"/>
    <mergeCell ref="E684:J684"/>
    <mergeCell ref="K684:L684"/>
    <mergeCell ref="N684:O684"/>
    <mergeCell ref="Q684:R684"/>
    <mergeCell ref="T684:U684"/>
    <mergeCell ref="W684:X684"/>
    <mergeCell ref="E683:J683"/>
    <mergeCell ref="K683:L683"/>
    <mergeCell ref="N683:O683"/>
    <mergeCell ref="Q683:R683"/>
    <mergeCell ref="T683:U683"/>
    <mergeCell ref="W683:X683"/>
    <mergeCell ref="K682:L682"/>
    <mergeCell ref="N682:O682"/>
    <mergeCell ref="Q682:R682"/>
    <mergeCell ref="T682:U682"/>
    <mergeCell ref="W682:X682"/>
    <mergeCell ref="W681:Y681"/>
    <mergeCell ref="T681:V681"/>
    <mergeCell ref="Q681:S681"/>
    <mergeCell ref="N681:P681"/>
    <mergeCell ref="D676:Y676"/>
    <mergeCell ref="D677:Y677"/>
    <mergeCell ref="D678:Y678"/>
    <mergeCell ref="W679:X679"/>
    <mergeCell ref="T679:U679"/>
    <mergeCell ref="Q679:R679"/>
    <mergeCell ref="N679:O679"/>
    <mergeCell ref="K679:L679"/>
    <mergeCell ref="E679:J679"/>
    <mergeCell ref="E659:Y659"/>
    <mergeCell ref="D671:Y671"/>
    <mergeCell ref="D672:Y672"/>
    <mergeCell ref="D673:Y673"/>
    <mergeCell ref="D674:Y674"/>
    <mergeCell ref="D675:Y675"/>
    <mergeCell ref="E669:M669"/>
    <mergeCell ref="N669:Y669"/>
    <mergeCell ref="E670:M670"/>
    <mergeCell ref="N670:Y670"/>
    <mergeCell ref="E666:M666"/>
    <mergeCell ref="N666:Y666"/>
    <mergeCell ref="E667:M667"/>
    <mergeCell ref="N667:Y667"/>
    <mergeCell ref="E668:M668"/>
    <mergeCell ref="N668:Y668"/>
    <mergeCell ref="E663:M663"/>
    <mergeCell ref="N663:Y663"/>
    <mergeCell ref="E664:M664"/>
    <mergeCell ref="N664:Y664"/>
    <mergeCell ref="E665:M665"/>
    <mergeCell ref="N665:Y665"/>
    <mergeCell ref="E660:M660"/>
    <mergeCell ref="N660:Y660"/>
    <mergeCell ref="E661:M661"/>
    <mergeCell ref="N661:Y661"/>
    <mergeCell ref="E662:M662"/>
    <mergeCell ref="N662:Y662"/>
    <mergeCell ref="E657:M657"/>
    <mergeCell ref="N657:Y657"/>
    <mergeCell ref="E658:M658"/>
    <mergeCell ref="N658:Y658"/>
    <mergeCell ref="E654:M654"/>
    <mergeCell ref="N654:Y654"/>
    <mergeCell ref="E655:M655"/>
    <mergeCell ref="N655:Y655"/>
    <mergeCell ref="E656:M656"/>
    <mergeCell ref="N656:Y656"/>
    <mergeCell ref="E651:M651"/>
    <mergeCell ref="N651:Y651"/>
    <mergeCell ref="E652:M652"/>
    <mergeCell ref="N652:Y652"/>
    <mergeCell ref="E653:M653"/>
    <mergeCell ref="N653:Y653"/>
    <mergeCell ref="E649:M649"/>
    <mergeCell ref="N649:Y649"/>
    <mergeCell ref="E650:M650"/>
    <mergeCell ref="N650:Y650"/>
    <mergeCell ref="E646:M646"/>
    <mergeCell ref="N646:Y646"/>
    <mergeCell ref="E647:M647"/>
    <mergeCell ref="N647:Y647"/>
    <mergeCell ref="E643:M643"/>
    <mergeCell ref="N643:Y643"/>
    <mergeCell ref="E644:M644"/>
    <mergeCell ref="N644:Y644"/>
    <mergeCell ref="E645:M645"/>
    <mergeCell ref="N645:Y645"/>
    <mergeCell ref="E641:M641"/>
    <mergeCell ref="N641:Y641"/>
    <mergeCell ref="E642:M642"/>
    <mergeCell ref="N642:Y642"/>
    <mergeCell ref="E639:M639"/>
    <mergeCell ref="N639:Y639"/>
    <mergeCell ref="E640:M640"/>
    <mergeCell ref="N640:Y640"/>
    <mergeCell ref="E635:M635"/>
    <mergeCell ref="N635:Y635"/>
    <mergeCell ref="E636:M636"/>
    <mergeCell ref="N636:Y636"/>
    <mergeCell ref="E637:M637"/>
    <mergeCell ref="N637:Y637"/>
    <mergeCell ref="D621:Y621"/>
    <mergeCell ref="D622:Y622"/>
    <mergeCell ref="D624:Y624"/>
    <mergeCell ref="D632:Y632"/>
    <mergeCell ref="E634:M634"/>
    <mergeCell ref="N634:Y634"/>
    <mergeCell ref="E648:M648"/>
    <mergeCell ref="N648:Y648"/>
    <mergeCell ref="D615:Y615"/>
    <mergeCell ref="D616:Y616"/>
    <mergeCell ref="D617:Y617"/>
    <mergeCell ref="D618:Y618"/>
    <mergeCell ref="D619:Y619"/>
    <mergeCell ref="D620:Y620"/>
    <mergeCell ref="D610:Y610"/>
    <mergeCell ref="D612:Y612"/>
    <mergeCell ref="D613:Y613"/>
    <mergeCell ref="D614:Y614"/>
    <mergeCell ref="D601:Y601"/>
    <mergeCell ref="D603:Y603"/>
    <mergeCell ref="D604:Y604"/>
    <mergeCell ref="D605:Y605"/>
    <mergeCell ref="D607:Y607"/>
    <mergeCell ref="D609:Y609"/>
    <mergeCell ref="E638:M638"/>
    <mergeCell ref="N638:Y638"/>
    <mergeCell ref="K588:P588"/>
    <mergeCell ref="E589:J589"/>
    <mergeCell ref="K589:P589"/>
    <mergeCell ref="E590:J590"/>
    <mergeCell ref="K590:P590"/>
    <mergeCell ref="E591:J591"/>
    <mergeCell ref="K591:P591"/>
    <mergeCell ref="E586:J586"/>
    <mergeCell ref="K586:P586"/>
    <mergeCell ref="E587:J587"/>
    <mergeCell ref="K587:P587"/>
    <mergeCell ref="E588:J588"/>
    <mergeCell ref="Q591:S591"/>
    <mergeCell ref="T591:V591"/>
    <mergeCell ref="W591:Y591"/>
    <mergeCell ref="Q589:S589"/>
    <mergeCell ref="T589:V589"/>
    <mergeCell ref="W589:Y589"/>
    <mergeCell ref="Q590:S590"/>
    <mergeCell ref="T590:V590"/>
    <mergeCell ref="W590:Y590"/>
    <mergeCell ref="Q587:S587"/>
    <mergeCell ref="T587:V587"/>
    <mergeCell ref="W587:Y587"/>
    <mergeCell ref="Q588:S588"/>
    <mergeCell ref="T588:V588"/>
    <mergeCell ref="W588:Y588"/>
    <mergeCell ref="D578:Y578"/>
    <mergeCell ref="Q586:S586"/>
    <mergeCell ref="T586:V586"/>
    <mergeCell ref="W586:Y586"/>
    <mergeCell ref="D572:Y572"/>
    <mergeCell ref="D574:Y574"/>
    <mergeCell ref="D575:Y575"/>
    <mergeCell ref="D576:Y576"/>
    <mergeCell ref="D577:Y577"/>
    <mergeCell ref="D566:Y566"/>
    <mergeCell ref="D567:Y567"/>
    <mergeCell ref="D568:Y568"/>
    <mergeCell ref="D569:Y569"/>
    <mergeCell ref="D570:Y570"/>
    <mergeCell ref="D571:Y571"/>
    <mergeCell ref="D560:Y560"/>
    <mergeCell ref="D561:Y561"/>
    <mergeCell ref="D562:Y562"/>
    <mergeCell ref="D563:Y563"/>
    <mergeCell ref="D564:Y564"/>
    <mergeCell ref="D565:Y565"/>
    <mergeCell ref="E379:S379"/>
    <mergeCell ref="T379:Y379"/>
    <mergeCell ref="E380:S380"/>
    <mergeCell ref="T380:Y380"/>
    <mergeCell ref="D381:Y381"/>
    <mergeCell ref="D534:Y534"/>
    <mergeCell ref="E376:S376"/>
    <mergeCell ref="T376:Y376"/>
    <mergeCell ref="E377:S377"/>
    <mergeCell ref="T377:Y377"/>
    <mergeCell ref="E378:S378"/>
    <mergeCell ref="T378:Y378"/>
    <mergeCell ref="T373:Y373"/>
    <mergeCell ref="E373:S373"/>
    <mergeCell ref="E374:S374"/>
    <mergeCell ref="T374:Y374"/>
    <mergeCell ref="E375:S375"/>
    <mergeCell ref="T375:Y375"/>
    <mergeCell ref="L398:N398"/>
    <mergeCell ref="Q398:S398"/>
    <mergeCell ref="D400:F400"/>
    <mergeCell ref="L400:N400"/>
    <mergeCell ref="D402:F402"/>
    <mergeCell ref="L402:N402"/>
    <mergeCell ref="D404:F405"/>
    <mergeCell ref="K404:O405"/>
    <mergeCell ref="D411:X411"/>
    <mergeCell ref="D413:F413"/>
    <mergeCell ref="J413:P413"/>
    <mergeCell ref="D415:F415"/>
    <mergeCell ref="L415:N415"/>
    <mergeCell ref="Q415:S415"/>
    <mergeCell ref="W362:Y362"/>
    <mergeCell ref="E363:G363"/>
    <mergeCell ref="H363:J363"/>
    <mergeCell ref="K363:M363"/>
    <mergeCell ref="N363:P363"/>
    <mergeCell ref="Q363:S363"/>
    <mergeCell ref="T363:V363"/>
    <mergeCell ref="W363:Y363"/>
    <mergeCell ref="E362:G362"/>
    <mergeCell ref="H362:J362"/>
    <mergeCell ref="K362:M362"/>
    <mergeCell ref="N362:P362"/>
    <mergeCell ref="Q362:S362"/>
    <mergeCell ref="T362:V362"/>
    <mergeCell ref="W360:Y360"/>
    <mergeCell ref="E361:G361"/>
    <mergeCell ref="H361:J361"/>
    <mergeCell ref="K361:M361"/>
    <mergeCell ref="N361:P361"/>
    <mergeCell ref="Q361:S361"/>
    <mergeCell ref="T361:V361"/>
    <mergeCell ref="W361:Y361"/>
    <mergeCell ref="E360:G360"/>
    <mergeCell ref="H360:J360"/>
    <mergeCell ref="K360:M360"/>
    <mergeCell ref="N360:P360"/>
    <mergeCell ref="Q360:S360"/>
    <mergeCell ref="T360:V360"/>
    <mergeCell ref="W358:Y358"/>
    <mergeCell ref="E359:G359"/>
    <mergeCell ref="H359:J359"/>
    <mergeCell ref="K359:M359"/>
    <mergeCell ref="N359:P359"/>
    <mergeCell ref="Q359:S359"/>
    <mergeCell ref="T359:V359"/>
    <mergeCell ref="W359:Y359"/>
    <mergeCell ref="E358:G358"/>
    <mergeCell ref="H358:J358"/>
    <mergeCell ref="K358:M358"/>
    <mergeCell ref="N358:P358"/>
    <mergeCell ref="Q358:S358"/>
    <mergeCell ref="T358:V358"/>
    <mergeCell ref="W356:Y356"/>
    <mergeCell ref="E357:G357"/>
    <mergeCell ref="H357:J357"/>
    <mergeCell ref="K357:M357"/>
    <mergeCell ref="N357:P357"/>
    <mergeCell ref="Q357:S357"/>
    <mergeCell ref="T357:V357"/>
    <mergeCell ref="W357:Y357"/>
    <mergeCell ref="E356:G356"/>
    <mergeCell ref="H356:J356"/>
    <mergeCell ref="K356:M356"/>
    <mergeCell ref="N356:P356"/>
    <mergeCell ref="Q356:S356"/>
    <mergeCell ref="T356:V356"/>
    <mergeCell ref="W354:Y354"/>
    <mergeCell ref="E355:G355"/>
    <mergeCell ref="H355:J355"/>
    <mergeCell ref="K355:M355"/>
    <mergeCell ref="N355:P355"/>
    <mergeCell ref="Q355:S355"/>
    <mergeCell ref="T355:V355"/>
    <mergeCell ref="W355:Y355"/>
    <mergeCell ref="E354:G354"/>
    <mergeCell ref="H354:J354"/>
    <mergeCell ref="K354:M354"/>
    <mergeCell ref="N354:P354"/>
    <mergeCell ref="Q354:S354"/>
    <mergeCell ref="T354:V354"/>
    <mergeCell ref="W353:Y353"/>
    <mergeCell ref="T353:V353"/>
    <mergeCell ref="Q353:S353"/>
    <mergeCell ref="N353:P353"/>
    <mergeCell ref="K353:M353"/>
    <mergeCell ref="H353:J353"/>
    <mergeCell ref="E353:G353"/>
    <mergeCell ref="D331:J331"/>
    <mergeCell ref="K331:O331"/>
    <mergeCell ref="P331:T331"/>
    <mergeCell ref="U331:Y331"/>
    <mergeCell ref="D334:Y334"/>
    <mergeCell ref="E326:K326"/>
    <mergeCell ref="L326:R326"/>
    <mergeCell ref="S326:Y326"/>
    <mergeCell ref="D330:J330"/>
    <mergeCell ref="U330:Y330"/>
    <mergeCell ref="P330:T330"/>
    <mergeCell ref="K330:O330"/>
    <mergeCell ref="E324:K324"/>
    <mergeCell ref="L324:R324"/>
    <mergeCell ref="S324:Y324"/>
    <mergeCell ref="E325:K325"/>
    <mergeCell ref="L325:R325"/>
    <mergeCell ref="S325:Y325"/>
    <mergeCell ref="E322:K322"/>
    <mergeCell ref="L322:R322"/>
    <mergeCell ref="S322:Y322"/>
    <mergeCell ref="E323:K323"/>
    <mergeCell ref="L323:R323"/>
    <mergeCell ref="S323:Y323"/>
    <mergeCell ref="D304:D305"/>
    <mergeCell ref="E304:K305"/>
    <mergeCell ref="L304:Y304"/>
    <mergeCell ref="E306:Y306"/>
    <mergeCell ref="E310:Y310"/>
    <mergeCell ref="E314:Y314"/>
    <mergeCell ref="E320:K320"/>
    <mergeCell ref="L320:R320"/>
    <mergeCell ref="S320:Y320"/>
    <mergeCell ref="E321:K321"/>
    <mergeCell ref="L321:R321"/>
    <mergeCell ref="S321:Y321"/>
    <mergeCell ref="E318:K318"/>
    <mergeCell ref="L318:R318"/>
    <mergeCell ref="S318:Y318"/>
    <mergeCell ref="E319:K319"/>
    <mergeCell ref="L319:R319"/>
    <mergeCell ref="S319:Y319"/>
    <mergeCell ref="E316:K316"/>
    <mergeCell ref="L316:R316"/>
    <mergeCell ref="S316:Y316"/>
    <mergeCell ref="E317:K317"/>
    <mergeCell ref="L317:R317"/>
    <mergeCell ref="S317:Y317"/>
    <mergeCell ref="E315:K315"/>
    <mergeCell ref="L315:R315"/>
    <mergeCell ref="S315:Y315"/>
    <mergeCell ref="E312:K312"/>
    <mergeCell ref="L312:R312"/>
    <mergeCell ref="S312:Y312"/>
    <mergeCell ref="E313:K313"/>
    <mergeCell ref="L313:R313"/>
    <mergeCell ref="S313:Y313"/>
    <mergeCell ref="E311:K311"/>
    <mergeCell ref="L311:R311"/>
    <mergeCell ref="S311:Y311"/>
    <mergeCell ref="E308:K308"/>
    <mergeCell ref="L308:R308"/>
    <mergeCell ref="S308:Y308"/>
    <mergeCell ref="E309:K309"/>
    <mergeCell ref="L309:R309"/>
    <mergeCell ref="S309:Y309"/>
    <mergeCell ref="E307:K307"/>
    <mergeCell ref="L307:R307"/>
    <mergeCell ref="S307:Y307"/>
    <mergeCell ref="L305:R305"/>
    <mergeCell ref="S305:Y305"/>
    <mergeCell ref="E299:L299"/>
    <mergeCell ref="M299:P299"/>
    <mergeCell ref="Q299:V299"/>
    <mergeCell ref="W299:Y299"/>
    <mergeCell ref="E303:K303"/>
    <mergeCell ref="L303:R303"/>
    <mergeCell ref="S303:Y303"/>
    <mergeCell ref="E298:L298"/>
    <mergeCell ref="M298:P298"/>
    <mergeCell ref="Q298:V298"/>
    <mergeCell ref="W298:Y298"/>
    <mergeCell ref="E296:L296"/>
    <mergeCell ref="M296:P296"/>
    <mergeCell ref="Q296:V296"/>
    <mergeCell ref="W296:Y296"/>
    <mergeCell ref="E297:L297"/>
    <mergeCell ref="M297:P297"/>
    <mergeCell ref="Q297:V297"/>
    <mergeCell ref="W297:Y297"/>
    <mergeCell ref="E295:L295"/>
    <mergeCell ref="M295:P295"/>
    <mergeCell ref="Q295:V295"/>
    <mergeCell ref="W295:Y295"/>
    <mergeCell ref="E293:L293"/>
    <mergeCell ref="M293:P293"/>
    <mergeCell ref="Q293:V293"/>
    <mergeCell ref="W293:Y293"/>
    <mergeCell ref="E294:L294"/>
    <mergeCell ref="M294:P294"/>
    <mergeCell ref="Q294:V294"/>
    <mergeCell ref="W294:Y294"/>
    <mergeCell ref="E292:L292"/>
    <mergeCell ref="M292:P292"/>
    <mergeCell ref="W292:Y292"/>
    <mergeCell ref="Q292:V292"/>
    <mergeCell ref="E286:L286"/>
    <mergeCell ref="M286:P286"/>
    <mergeCell ref="Q286:S286"/>
    <mergeCell ref="T286:V286"/>
    <mergeCell ref="W286:Y286"/>
    <mergeCell ref="E287:L287"/>
    <mergeCell ref="M287:P287"/>
    <mergeCell ref="Q287:S287"/>
    <mergeCell ref="T287:V287"/>
    <mergeCell ref="W287:Y287"/>
    <mergeCell ref="T281:V281"/>
    <mergeCell ref="W281:Y281"/>
    <mergeCell ref="Q278:S278"/>
    <mergeCell ref="T278:V278"/>
    <mergeCell ref="W278:Y278"/>
    <mergeCell ref="Q279:S279"/>
    <mergeCell ref="E284:L284"/>
    <mergeCell ref="M284:P284"/>
    <mergeCell ref="Q284:S284"/>
    <mergeCell ref="T284:V284"/>
    <mergeCell ref="W284:Y284"/>
    <mergeCell ref="E285:L285"/>
    <mergeCell ref="M285:P285"/>
    <mergeCell ref="Q285:S285"/>
    <mergeCell ref="T285:V285"/>
    <mergeCell ref="W285:Y285"/>
    <mergeCell ref="T279:V279"/>
    <mergeCell ref="W279:Y279"/>
    <mergeCell ref="Q276:S276"/>
    <mergeCell ref="T276:V276"/>
    <mergeCell ref="W276:Y276"/>
    <mergeCell ref="Q277:S277"/>
    <mergeCell ref="T277:V277"/>
    <mergeCell ref="W277:Y277"/>
    <mergeCell ref="E282:L282"/>
    <mergeCell ref="M282:P282"/>
    <mergeCell ref="Q282:S282"/>
    <mergeCell ref="T282:V282"/>
    <mergeCell ref="W282:Y282"/>
    <mergeCell ref="E283:L283"/>
    <mergeCell ref="M283:P283"/>
    <mergeCell ref="Q283:S283"/>
    <mergeCell ref="T283:V283"/>
    <mergeCell ref="W283:Y283"/>
    <mergeCell ref="E279:L279"/>
    <mergeCell ref="M279:P279"/>
    <mergeCell ref="E280:L280"/>
    <mergeCell ref="M280:P280"/>
    <mergeCell ref="E281:L281"/>
    <mergeCell ref="M281:P281"/>
    <mergeCell ref="M276:P276"/>
    <mergeCell ref="E276:L276"/>
    <mergeCell ref="E277:L277"/>
    <mergeCell ref="M277:P277"/>
    <mergeCell ref="E278:L278"/>
    <mergeCell ref="M278:P278"/>
    <mergeCell ref="Q280:S280"/>
    <mergeCell ref="T280:V280"/>
    <mergeCell ref="W280:Y280"/>
    <mergeCell ref="Q281:S281"/>
    <mergeCell ref="E272:J272"/>
    <mergeCell ref="K272:P272"/>
    <mergeCell ref="Q272:S272"/>
    <mergeCell ref="T272:V272"/>
    <mergeCell ref="W272:Y272"/>
    <mergeCell ref="E270:J270"/>
    <mergeCell ref="K270:P270"/>
    <mergeCell ref="Q270:S270"/>
    <mergeCell ref="T270:V270"/>
    <mergeCell ref="W270:Y270"/>
    <mergeCell ref="W269:Y269"/>
    <mergeCell ref="T269:V269"/>
    <mergeCell ref="Q269:S269"/>
    <mergeCell ref="E269:J269"/>
    <mergeCell ref="K269:P269"/>
    <mergeCell ref="E271:J271"/>
    <mergeCell ref="K271:P271"/>
    <mergeCell ref="Q271:S271"/>
    <mergeCell ref="T271:V271"/>
    <mergeCell ref="W271:Y271"/>
    <mergeCell ref="T262:U262"/>
    <mergeCell ref="V262:W262"/>
    <mergeCell ref="X262:Y262"/>
    <mergeCell ref="H262:I262"/>
    <mergeCell ref="J262:K262"/>
    <mergeCell ref="D266:Y266"/>
    <mergeCell ref="D262:E262"/>
    <mergeCell ref="F262:G262"/>
    <mergeCell ref="L262:M262"/>
    <mergeCell ref="N262:O262"/>
    <mergeCell ref="P262:Q262"/>
    <mergeCell ref="R262:S262"/>
    <mergeCell ref="N261:O261"/>
    <mergeCell ref="L261:M261"/>
    <mergeCell ref="J261:K261"/>
    <mergeCell ref="H261:I261"/>
    <mergeCell ref="F261:G261"/>
    <mergeCell ref="D261:E261"/>
    <mergeCell ref="E256:I256"/>
    <mergeCell ref="J256:K256"/>
    <mergeCell ref="L256:P256"/>
    <mergeCell ref="Q256:T256"/>
    <mergeCell ref="U256:Y256"/>
    <mergeCell ref="X261:Y261"/>
    <mergeCell ref="V261:W261"/>
    <mergeCell ref="T261:U261"/>
    <mergeCell ref="R261:S261"/>
    <mergeCell ref="P261:Q261"/>
    <mergeCell ref="E254:I254"/>
    <mergeCell ref="J254:K254"/>
    <mergeCell ref="L254:P254"/>
    <mergeCell ref="Q254:T254"/>
    <mergeCell ref="U254:Y254"/>
    <mergeCell ref="E255:I255"/>
    <mergeCell ref="J255:K255"/>
    <mergeCell ref="L255:P255"/>
    <mergeCell ref="Q255:T255"/>
    <mergeCell ref="U255:Y255"/>
    <mergeCell ref="E252:I252"/>
    <mergeCell ref="J252:K252"/>
    <mergeCell ref="L252:P252"/>
    <mergeCell ref="Q252:T252"/>
    <mergeCell ref="U252:Y252"/>
    <mergeCell ref="E253:I253"/>
    <mergeCell ref="J253:K253"/>
    <mergeCell ref="L253:P253"/>
    <mergeCell ref="Q253:T253"/>
    <mergeCell ref="U253:Y253"/>
    <mergeCell ref="U250:Y250"/>
    <mergeCell ref="E251:I251"/>
    <mergeCell ref="J251:K251"/>
    <mergeCell ref="L251:P251"/>
    <mergeCell ref="Q251:T251"/>
    <mergeCell ref="U251:Y251"/>
    <mergeCell ref="L249:P249"/>
    <mergeCell ref="Q249:T249"/>
    <mergeCell ref="E250:I250"/>
    <mergeCell ref="J250:K250"/>
    <mergeCell ref="L250:P250"/>
    <mergeCell ref="Q250:T250"/>
    <mergeCell ref="D247:Y247"/>
    <mergeCell ref="U249:Y249"/>
    <mergeCell ref="E249:I249"/>
    <mergeCell ref="J249:K249"/>
    <mergeCell ref="Q241:S241"/>
    <mergeCell ref="T241:V241"/>
    <mergeCell ref="W241:Y241"/>
    <mergeCell ref="C241:F241"/>
    <mergeCell ref="G241:H241"/>
    <mergeCell ref="I241:J241"/>
    <mergeCell ref="K241:L241"/>
    <mergeCell ref="M241:N241"/>
    <mergeCell ref="O241:P241"/>
    <mergeCell ref="W239:Y239"/>
    <mergeCell ref="C240:F240"/>
    <mergeCell ref="G240:H240"/>
    <mergeCell ref="I240:J240"/>
    <mergeCell ref="K240:L240"/>
    <mergeCell ref="M240:N240"/>
    <mergeCell ref="O240:P240"/>
    <mergeCell ref="Q240:S240"/>
    <mergeCell ref="T240:V240"/>
    <mergeCell ref="W240:Y240"/>
    <mergeCell ref="T238:V238"/>
    <mergeCell ref="W238:Y238"/>
    <mergeCell ref="C239:F239"/>
    <mergeCell ref="G239:H239"/>
    <mergeCell ref="I239:J239"/>
    <mergeCell ref="K239:L239"/>
    <mergeCell ref="M239:N239"/>
    <mergeCell ref="O239:P239"/>
    <mergeCell ref="Q239:S239"/>
    <mergeCell ref="T239:V239"/>
    <mergeCell ref="Q237:S237"/>
    <mergeCell ref="T237:V237"/>
    <mergeCell ref="W237:Y237"/>
    <mergeCell ref="C238:F238"/>
    <mergeCell ref="G238:H238"/>
    <mergeCell ref="I238:J238"/>
    <mergeCell ref="K238:L238"/>
    <mergeCell ref="M238:N238"/>
    <mergeCell ref="O238:P238"/>
    <mergeCell ref="Q238:S238"/>
    <mergeCell ref="L226:Y226"/>
    <mergeCell ref="L215:Y215"/>
    <mergeCell ref="L216:Y216"/>
    <mergeCell ref="L218:Y218"/>
    <mergeCell ref="L219:Y219"/>
    <mergeCell ref="L220:Y220"/>
    <mergeCell ref="Q236:S236"/>
    <mergeCell ref="O236:P236"/>
    <mergeCell ref="M236:N236"/>
    <mergeCell ref="C236:F236"/>
    <mergeCell ref="C237:F237"/>
    <mergeCell ref="G237:H237"/>
    <mergeCell ref="I237:J237"/>
    <mergeCell ref="K237:L237"/>
    <mergeCell ref="M237:N237"/>
    <mergeCell ref="O237:P237"/>
    <mergeCell ref="K236:L236"/>
    <mergeCell ref="I236:J236"/>
    <mergeCell ref="G236:H236"/>
    <mergeCell ref="W236:Y236"/>
    <mergeCell ref="T236:V236"/>
    <mergeCell ref="C231:K231"/>
    <mergeCell ref="C232:K232"/>
    <mergeCell ref="B208:Y208"/>
    <mergeCell ref="L209:Y209"/>
    <mergeCell ref="C209:K209"/>
    <mergeCell ref="L210:Y210"/>
    <mergeCell ref="L211:Y211"/>
    <mergeCell ref="C221:K221"/>
    <mergeCell ref="C222:K222"/>
    <mergeCell ref="C223:K223"/>
    <mergeCell ref="B212:B215"/>
    <mergeCell ref="C224:K224"/>
    <mergeCell ref="B27:W27"/>
    <mergeCell ref="B28:W28"/>
    <mergeCell ref="B45:W45"/>
    <mergeCell ref="B8:Y8"/>
    <mergeCell ref="B9:Y9"/>
    <mergeCell ref="B13:Y13"/>
    <mergeCell ref="B14:Y14"/>
    <mergeCell ref="B19:W19"/>
    <mergeCell ref="B26:W26"/>
    <mergeCell ref="C212:K215"/>
    <mergeCell ref="C210:K211"/>
    <mergeCell ref="B210:B211"/>
    <mergeCell ref="B217:Y217"/>
    <mergeCell ref="C216:K216"/>
    <mergeCell ref="C218:K218"/>
    <mergeCell ref="C219:K219"/>
    <mergeCell ref="C220:K220"/>
    <mergeCell ref="L221:Y221"/>
    <mergeCell ref="L222:Y222"/>
    <mergeCell ref="L223:Y223"/>
    <mergeCell ref="L224:Y224"/>
    <mergeCell ref="C109:Y116"/>
    <mergeCell ref="E1282:J1282"/>
    <mergeCell ref="K1282:M1282"/>
    <mergeCell ref="N1282:P1282"/>
    <mergeCell ref="Q1282:T1282"/>
    <mergeCell ref="U1282:Y1282"/>
    <mergeCell ref="E1283:J1283"/>
    <mergeCell ref="K1283:M1283"/>
    <mergeCell ref="N1283:P1283"/>
    <mergeCell ref="Q1283:T1283"/>
    <mergeCell ref="U1283:Y1283"/>
    <mergeCell ref="E1284:J1284"/>
    <mergeCell ref="K1284:M1284"/>
    <mergeCell ref="N1284:P1284"/>
    <mergeCell ref="Q1284:T1284"/>
    <mergeCell ref="U1284:Y1284"/>
    <mergeCell ref="L212:Y212"/>
    <mergeCell ref="L213:Y213"/>
    <mergeCell ref="L214:Y214"/>
    <mergeCell ref="B234:Y234"/>
    <mergeCell ref="C225:K225"/>
    <mergeCell ref="C226:K226"/>
    <mergeCell ref="C227:K227"/>
    <mergeCell ref="C228:K228"/>
    <mergeCell ref="C229:K229"/>
    <mergeCell ref="C230:K230"/>
    <mergeCell ref="L227:Y227"/>
    <mergeCell ref="L228:Y228"/>
    <mergeCell ref="L229:Y229"/>
    <mergeCell ref="L230:Y230"/>
    <mergeCell ref="L231:Y231"/>
    <mergeCell ref="L232:Y232"/>
    <mergeCell ref="L225:Y225"/>
    <mergeCell ref="L1290:R1290"/>
    <mergeCell ref="S1290:Y1290"/>
    <mergeCell ref="E1291:K1291"/>
    <mergeCell ref="L1291:R1291"/>
    <mergeCell ref="S1291:Y1291"/>
    <mergeCell ref="E1294:K1294"/>
    <mergeCell ref="L1294:R1294"/>
    <mergeCell ref="S1294:Y1294"/>
    <mergeCell ref="E1116:J1116"/>
    <mergeCell ref="K1116:M1116"/>
    <mergeCell ref="N1116:P1116"/>
    <mergeCell ref="Q1116:T1116"/>
    <mergeCell ref="U1116:Y1116"/>
    <mergeCell ref="E1117:J1117"/>
    <mergeCell ref="K1117:M1117"/>
    <mergeCell ref="N1117:P1117"/>
    <mergeCell ref="Q1117:T1117"/>
    <mergeCell ref="U1117:Y1117"/>
    <mergeCell ref="E1118:J1118"/>
    <mergeCell ref="K1118:M1118"/>
    <mergeCell ref="N1118:P1118"/>
    <mergeCell ref="Q1118:T1118"/>
    <mergeCell ref="U1118:Y1118"/>
    <mergeCell ref="E1289:K1289"/>
    <mergeCell ref="L1289:R1289"/>
    <mergeCell ref="S1289:Y1289"/>
    <mergeCell ref="E1290:K1290"/>
    <mergeCell ref="E1281:J1281"/>
    <mergeCell ref="K1281:M1281"/>
    <mergeCell ref="N1281:P1281"/>
    <mergeCell ref="Q1281:T1281"/>
    <mergeCell ref="U1281:Y1281"/>
    <mergeCell ref="E1343:M1343"/>
    <mergeCell ref="E1346:M1346"/>
    <mergeCell ref="E1348:M1348"/>
    <mergeCell ref="E1350:M1350"/>
    <mergeCell ref="E1351:M1351"/>
    <mergeCell ref="E1354:M1354"/>
    <mergeCell ref="E1356:M1356"/>
    <mergeCell ref="E1358:M1358"/>
    <mergeCell ref="E1359:M1359"/>
    <mergeCell ref="E1362:M1362"/>
    <mergeCell ref="E1363:M1363"/>
    <mergeCell ref="E1377:L1377"/>
    <mergeCell ref="M1377:O1377"/>
    <mergeCell ref="D1292:Y1292"/>
    <mergeCell ref="D1293:Y1293"/>
    <mergeCell ref="E1333:M1334"/>
    <mergeCell ref="D1333:D1334"/>
    <mergeCell ref="N1333:Q1333"/>
    <mergeCell ref="R1333:U1333"/>
    <mergeCell ref="V1333:Y1333"/>
    <mergeCell ref="E1335:M1335"/>
    <mergeCell ref="E1336:M1336"/>
    <mergeCell ref="E1337:M1337"/>
    <mergeCell ref="E1339:M1339"/>
    <mergeCell ref="E1340:M1340"/>
    <mergeCell ref="E1342:M1342"/>
    <mergeCell ref="P1377:R1377"/>
    <mergeCell ref="S1377:U1377"/>
    <mergeCell ref="V1377:Y1377"/>
    <mergeCell ref="E1338:M1338"/>
    <mergeCell ref="E1344:M1344"/>
    <mergeCell ref="E1345:M1345"/>
    <mergeCell ref="E1378:L1378"/>
    <mergeCell ref="M1378:O1378"/>
    <mergeCell ref="P1378:R1378"/>
    <mergeCell ref="S1378:U1378"/>
    <mergeCell ref="V1378:Y1378"/>
    <mergeCell ref="E1379:L1379"/>
    <mergeCell ref="M1379:O1379"/>
    <mergeCell ref="P1379:R1379"/>
    <mergeCell ref="S1379:U1379"/>
    <mergeCell ref="V1379:Y1379"/>
    <mergeCell ref="E1380:L1380"/>
    <mergeCell ref="M1380:O1380"/>
    <mergeCell ref="P1380:R1380"/>
    <mergeCell ref="S1380:U1380"/>
    <mergeCell ref="V1380:Y1380"/>
    <mergeCell ref="D1389:E1389"/>
    <mergeCell ref="V1389:Y1389"/>
    <mergeCell ref="S1389:U1389"/>
    <mergeCell ref="F1389:R1389"/>
    <mergeCell ref="D1390:E1390"/>
    <mergeCell ref="F1390:R1390"/>
    <mergeCell ref="S1390:U1390"/>
    <mergeCell ref="V1390:Y1390"/>
    <mergeCell ref="E1381:L1381"/>
    <mergeCell ref="M1381:O1381"/>
    <mergeCell ref="P1381:R1381"/>
    <mergeCell ref="S1381:U1381"/>
    <mergeCell ref="V1381:Y1381"/>
    <mergeCell ref="E1383:L1383"/>
    <mergeCell ref="M1383:O1383"/>
    <mergeCell ref="P1383:R1383"/>
    <mergeCell ref="S1383:U1383"/>
    <mergeCell ref="V1383:Y1383"/>
    <mergeCell ref="E1385:L1385"/>
    <mergeCell ref="M1385:O1385"/>
    <mergeCell ref="P1385:R1385"/>
    <mergeCell ref="S1385:U1385"/>
    <mergeCell ref="V1385:Y1385"/>
    <mergeCell ref="E1382:L1382"/>
    <mergeCell ref="M1382:O1382"/>
    <mergeCell ref="P1382:R1382"/>
    <mergeCell ref="S1382:U1382"/>
    <mergeCell ref="V1382:Y1382"/>
    <mergeCell ref="E1384:L1384"/>
    <mergeCell ref="M1384:O1384"/>
    <mergeCell ref="P1384:R1384"/>
    <mergeCell ref="S1384:U1384"/>
    <mergeCell ref="V1384:Y1384"/>
    <mergeCell ref="D1391:E1391"/>
    <mergeCell ref="F1391:R1391"/>
    <mergeCell ref="S1391:U1391"/>
    <mergeCell ref="V1391:Y1391"/>
    <mergeCell ref="D1392:E1392"/>
    <mergeCell ref="F1392:R1392"/>
    <mergeCell ref="S1392:U1392"/>
    <mergeCell ref="V1392:Y1392"/>
    <mergeCell ref="D1393:E1393"/>
    <mergeCell ref="F1393:R1393"/>
    <mergeCell ref="S1393:U1393"/>
    <mergeCell ref="V1393:Y1393"/>
    <mergeCell ref="D1394:E1394"/>
    <mergeCell ref="F1394:R1394"/>
    <mergeCell ref="S1394:U1394"/>
    <mergeCell ref="V1394:Y1394"/>
    <mergeCell ref="U1402:Y1402"/>
    <mergeCell ref="P1402:T1402"/>
    <mergeCell ref="M1402:O1402"/>
    <mergeCell ref="E1402:L1402"/>
    <mergeCell ref="E1409:L1409"/>
    <mergeCell ref="M1409:O1409"/>
    <mergeCell ref="P1409:T1409"/>
    <mergeCell ref="U1409:Y1409"/>
    <mergeCell ref="E1411:L1411"/>
    <mergeCell ref="M1411:O1411"/>
    <mergeCell ref="P1411:T1411"/>
    <mergeCell ref="U1411:Y1411"/>
    <mergeCell ref="E1403:L1403"/>
    <mergeCell ref="M1403:O1403"/>
    <mergeCell ref="P1403:T1403"/>
    <mergeCell ref="U1403:Y1403"/>
    <mergeCell ref="E1404:L1404"/>
    <mergeCell ref="M1404:O1404"/>
    <mergeCell ref="P1404:T1404"/>
    <mergeCell ref="U1404:Y1404"/>
    <mergeCell ref="E1405:L1405"/>
    <mergeCell ref="M1405:O1405"/>
    <mergeCell ref="P1405:T1405"/>
    <mergeCell ref="U1405:Y1405"/>
    <mergeCell ref="E1406:L1406"/>
    <mergeCell ref="M1406:O1406"/>
    <mergeCell ref="P1406:T1406"/>
    <mergeCell ref="U1406:Y1406"/>
    <mergeCell ref="E1407:L1407"/>
    <mergeCell ref="M1407:O1407"/>
    <mergeCell ref="P1407:T1407"/>
    <mergeCell ref="U1407:Y1407"/>
    <mergeCell ref="E1408:L1408"/>
    <mergeCell ref="M1408:O1408"/>
    <mergeCell ref="P1408:T1408"/>
    <mergeCell ref="U1408:Y1408"/>
    <mergeCell ref="D1413:Y1413"/>
    <mergeCell ref="D1418:I1418"/>
    <mergeCell ref="J1418:L1418"/>
    <mergeCell ref="M1418:O1418"/>
    <mergeCell ref="P1418:R1418"/>
    <mergeCell ref="S1418:U1418"/>
    <mergeCell ref="V1418:X1418"/>
    <mergeCell ref="Y1418:AA1418"/>
    <mergeCell ref="AB1418:AD1418"/>
    <mergeCell ref="D1419:I1419"/>
    <mergeCell ref="J1419:L1419"/>
    <mergeCell ref="M1419:O1419"/>
    <mergeCell ref="P1419:R1419"/>
    <mergeCell ref="S1419:U1419"/>
    <mergeCell ref="V1419:X1419"/>
    <mergeCell ref="Y1419:AA1419"/>
    <mergeCell ref="AB1419:AD1419"/>
    <mergeCell ref="D1420:I1420"/>
    <mergeCell ref="J1420:L1420"/>
    <mergeCell ref="M1420:O1420"/>
    <mergeCell ref="P1420:R1420"/>
    <mergeCell ref="S1420:U1420"/>
    <mergeCell ref="V1420:X1420"/>
    <mergeCell ref="Y1420:AA1420"/>
    <mergeCell ref="AB1420:AD1420"/>
    <mergeCell ref="D1421:I1421"/>
    <mergeCell ref="J1421:L1421"/>
    <mergeCell ref="M1421:O1421"/>
    <mergeCell ref="P1421:R1421"/>
    <mergeCell ref="S1421:U1421"/>
    <mergeCell ref="V1421:X1421"/>
    <mergeCell ref="Y1421:AA1421"/>
    <mergeCell ref="AB1421:AD1421"/>
    <mergeCell ref="D1422:I1422"/>
    <mergeCell ref="J1422:L1422"/>
    <mergeCell ref="M1422:O1422"/>
    <mergeCell ref="P1422:R1422"/>
    <mergeCell ref="S1422:U1422"/>
    <mergeCell ref="V1422:X1422"/>
    <mergeCell ref="Y1422:AA1422"/>
    <mergeCell ref="AB1422:AD1422"/>
    <mergeCell ref="D1423:I1423"/>
    <mergeCell ref="J1423:L1423"/>
    <mergeCell ref="M1423:O1423"/>
    <mergeCell ref="P1423:R1423"/>
    <mergeCell ref="S1423:U1423"/>
    <mergeCell ref="V1423:X1423"/>
    <mergeCell ref="Y1423:AA1423"/>
    <mergeCell ref="AB1423:AD1423"/>
    <mergeCell ref="D1424:I1424"/>
    <mergeCell ref="J1424:L1424"/>
    <mergeCell ref="M1424:O1424"/>
    <mergeCell ref="P1424:R1424"/>
    <mergeCell ref="S1424:U1424"/>
    <mergeCell ref="V1424:X1424"/>
    <mergeCell ref="Y1424:AA1424"/>
    <mergeCell ref="AB1424:AD1424"/>
    <mergeCell ref="D1425:I1425"/>
    <mergeCell ref="J1425:L1425"/>
    <mergeCell ref="M1425:O1425"/>
    <mergeCell ref="P1425:R1425"/>
    <mergeCell ref="S1425:U1425"/>
    <mergeCell ref="V1425:X1425"/>
    <mergeCell ref="Y1425:AA1425"/>
    <mergeCell ref="AB1425:AD1425"/>
    <mergeCell ref="P1426:R1426"/>
    <mergeCell ref="S1426:U1426"/>
    <mergeCell ref="V1426:X1426"/>
    <mergeCell ref="Y1426:AA1426"/>
    <mergeCell ref="AB1426:AD1426"/>
    <mergeCell ref="D1427:I1427"/>
    <mergeCell ref="J1427:L1427"/>
    <mergeCell ref="M1427:O1427"/>
    <mergeCell ref="P1427:R1427"/>
    <mergeCell ref="S1427:U1427"/>
    <mergeCell ref="V1427:X1427"/>
    <mergeCell ref="Y1427:AA1427"/>
    <mergeCell ref="AB1427:AD1427"/>
    <mergeCell ref="D1428:I1428"/>
    <mergeCell ref="J1428:L1428"/>
    <mergeCell ref="M1428:O1428"/>
    <mergeCell ref="P1428:R1428"/>
    <mergeCell ref="S1428:U1428"/>
    <mergeCell ref="V1428:X1428"/>
    <mergeCell ref="Y1428:AA1428"/>
    <mergeCell ref="AB1428:AD1428"/>
    <mergeCell ref="D1429:I1429"/>
    <mergeCell ref="J1429:L1429"/>
    <mergeCell ref="M1429:O1429"/>
    <mergeCell ref="P1429:R1429"/>
    <mergeCell ref="S1429:U1429"/>
    <mergeCell ref="V1429:X1429"/>
    <mergeCell ref="Y1429:AA1429"/>
    <mergeCell ref="AB1429:AD1429"/>
    <mergeCell ref="D1430:I1430"/>
    <mergeCell ref="J1430:L1430"/>
    <mergeCell ref="M1430:O1430"/>
    <mergeCell ref="P1430:R1430"/>
    <mergeCell ref="S1430:U1430"/>
    <mergeCell ref="V1430:X1430"/>
    <mergeCell ref="Y1430:AA1430"/>
    <mergeCell ref="AB1430:AD1430"/>
    <mergeCell ref="AE1418:AG1418"/>
    <mergeCell ref="AE1419:AG1419"/>
    <mergeCell ref="AE1420:AG1420"/>
    <mergeCell ref="AE1421:AG1421"/>
    <mergeCell ref="AE1422:AG1422"/>
    <mergeCell ref="AE1423:AG1423"/>
    <mergeCell ref="AE1424:AG1424"/>
    <mergeCell ref="AE1425:AG1425"/>
    <mergeCell ref="AE1426:AG1426"/>
    <mergeCell ref="AE1427:AG1427"/>
    <mergeCell ref="AE1428:AG1428"/>
    <mergeCell ref="AE1429:AG1429"/>
    <mergeCell ref="AE1430:AG1430"/>
    <mergeCell ref="D1426:I1426"/>
    <mergeCell ref="J1426:L1426"/>
    <mergeCell ref="M1426:O1426"/>
    <mergeCell ref="D1431:I1431"/>
    <mergeCell ref="J1431:L1431"/>
    <mergeCell ref="M1431:O1431"/>
    <mergeCell ref="P1431:R1431"/>
    <mergeCell ref="S1431:U1431"/>
    <mergeCell ref="V1431:X1431"/>
    <mergeCell ref="Y1431:AA1431"/>
    <mergeCell ref="AB1431:AD1431"/>
    <mergeCell ref="AE1431:AG1431"/>
    <mergeCell ref="D1432:I1432"/>
    <mergeCell ref="J1432:L1432"/>
    <mergeCell ref="M1432:O1432"/>
    <mergeCell ref="P1432:R1432"/>
    <mergeCell ref="S1432:U1432"/>
    <mergeCell ref="V1432:X1432"/>
    <mergeCell ref="Y1432:AA1432"/>
    <mergeCell ref="AB1432:AD1432"/>
    <mergeCell ref="AE1432:AG1432"/>
    <mergeCell ref="D1433:I1433"/>
    <mergeCell ref="J1433:L1433"/>
    <mergeCell ref="M1433:O1433"/>
    <mergeCell ref="P1433:R1433"/>
    <mergeCell ref="S1433:U1433"/>
    <mergeCell ref="V1433:X1433"/>
    <mergeCell ref="Y1433:AA1433"/>
    <mergeCell ref="AB1433:AD1433"/>
    <mergeCell ref="AE1433:AG1433"/>
    <mergeCell ref="D1434:I1434"/>
    <mergeCell ref="J1434:L1434"/>
    <mergeCell ref="M1434:O1434"/>
    <mergeCell ref="P1434:R1434"/>
    <mergeCell ref="S1434:U1434"/>
    <mergeCell ref="V1434:X1434"/>
    <mergeCell ref="Y1434:AA1434"/>
    <mergeCell ref="AB1434:AD1434"/>
    <mergeCell ref="AE1434:AG1434"/>
    <mergeCell ref="D1435:I1435"/>
    <mergeCell ref="J1435:L1435"/>
    <mergeCell ref="M1435:O1435"/>
    <mergeCell ref="P1435:R1435"/>
    <mergeCell ref="S1435:U1435"/>
    <mergeCell ref="V1435:X1435"/>
    <mergeCell ref="Y1435:AA1435"/>
    <mergeCell ref="AB1435:AD1435"/>
    <mergeCell ref="AE1435:AG1435"/>
    <mergeCell ref="D1436:I1436"/>
    <mergeCell ref="J1436:L1436"/>
    <mergeCell ref="M1436:O1436"/>
    <mergeCell ref="P1436:R1436"/>
    <mergeCell ref="S1436:U1436"/>
    <mergeCell ref="V1436:X1436"/>
    <mergeCell ref="Y1436:AA1436"/>
    <mergeCell ref="AB1436:AD1436"/>
    <mergeCell ref="AE1436:AG1436"/>
    <mergeCell ref="D1437:I1437"/>
    <mergeCell ref="J1437:L1437"/>
    <mergeCell ref="M1437:O1437"/>
    <mergeCell ref="P1437:R1437"/>
    <mergeCell ref="S1437:U1437"/>
    <mergeCell ref="V1437:X1437"/>
    <mergeCell ref="Y1437:AA1437"/>
    <mergeCell ref="AB1437:AD1437"/>
    <mergeCell ref="AE1437:AG1437"/>
    <mergeCell ref="D1438:I1438"/>
    <mergeCell ref="J1438:L1438"/>
    <mergeCell ref="M1438:O1438"/>
    <mergeCell ref="P1438:R1438"/>
    <mergeCell ref="S1438:U1438"/>
    <mergeCell ref="V1438:X1438"/>
    <mergeCell ref="Y1438:AA1438"/>
    <mergeCell ref="AB1438:AD1438"/>
    <mergeCell ref="AE1438:AG1438"/>
    <mergeCell ref="D1439:I1439"/>
    <mergeCell ref="J1439:L1439"/>
    <mergeCell ref="M1439:O1439"/>
    <mergeCell ref="P1439:R1439"/>
    <mergeCell ref="S1439:U1439"/>
    <mergeCell ref="V1439:X1439"/>
    <mergeCell ref="Y1439:AA1439"/>
    <mergeCell ref="AB1439:AD1439"/>
    <mergeCell ref="AE1439:AG1439"/>
    <mergeCell ref="D1440:I1440"/>
    <mergeCell ref="J1440:L1440"/>
    <mergeCell ref="M1440:O1440"/>
    <mergeCell ref="P1440:R1440"/>
    <mergeCell ref="S1440:U1440"/>
    <mergeCell ref="V1440:X1440"/>
    <mergeCell ref="Y1440:AA1440"/>
    <mergeCell ref="AB1440:AD1440"/>
    <mergeCell ref="AE1440:AG1440"/>
    <mergeCell ref="C1447:D1447"/>
    <mergeCell ref="E1447:J1447"/>
    <mergeCell ref="K1447:P1447"/>
    <mergeCell ref="Q1447:W1447"/>
    <mergeCell ref="X1447:AG1447"/>
    <mergeCell ref="C1448:D1448"/>
    <mergeCell ref="E1448:J1448"/>
    <mergeCell ref="K1448:P1448"/>
    <mergeCell ref="Q1448:W1448"/>
    <mergeCell ref="X1448:AG1448"/>
    <mergeCell ref="C1449:D1449"/>
    <mergeCell ref="E1449:J1449"/>
    <mergeCell ref="K1449:P1449"/>
    <mergeCell ref="Q1449:W1449"/>
    <mergeCell ref="X1449:AG1449"/>
    <mergeCell ref="D1441:I1441"/>
    <mergeCell ref="J1441:L1441"/>
    <mergeCell ref="M1441:O1441"/>
    <mergeCell ref="P1441:R1441"/>
    <mergeCell ref="S1441:U1441"/>
    <mergeCell ref="V1441:X1441"/>
    <mergeCell ref="Y1441:AA1441"/>
    <mergeCell ref="AB1441:AD1441"/>
    <mergeCell ref="AE1441:AG1441"/>
    <mergeCell ref="C1450:D1450"/>
    <mergeCell ref="E1450:J1450"/>
    <mergeCell ref="K1450:P1450"/>
    <mergeCell ref="Q1450:W1450"/>
    <mergeCell ref="X1450:AG1450"/>
    <mergeCell ref="C1451:D1451"/>
    <mergeCell ref="E1451:J1451"/>
    <mergeCell ref="K1451:P1451"/>
    <mergeCell ref="Q1451:W1451"/>
    <mergeCell ref="X1451:AG1451"/>
    <mergeCell ref="C1452:D1452"/>
    <mergeCell ref="E1452:J1452"/>
    <mergeCell ref="K1452:P1452"/>
    <mergeCell ref="Q1452:W1452"/>
    <mergeCell ref="X1452:AG1452"/>
    <mergeCell ref="C1453:D1453"/>
    <mergeCell ref="E1453:J1453"/>
    <mergeCell ref="K1453:P1453"/>
    <mergeCell ref="Q1453:W1453"/>
    <mergeCell ref="X1453:AG1453"/>
    <mergeCell ref="C1454:D1454"/>
    <mergeCell ref="E1454:J1454"/>
    <mergeCell ref="K1454:P1454"/>
    <mergeCell ref="Q1454:W1454"/>
    <mergeCell ref="X1454:AG1454"/>
    <mergeCell ref="C1455:D1455"/>
    <mergeCell ref="E1455:J1455"/>
    <mergeCell ref="K1455:P1455"/>
    <mergeCell ref="Q1455:W1455"/>
    <mergeCell ref="X1455:AG1455"/>
    <mergeCell ref="C1465:F1465"/>
    <mergeCell ref="G1465:P1465"/>
    <mergeCell ref="Q1465:W1465"/>
    <mergeCell ref="X1465:AG1465"/>
    <mergeCell ref="C1466:F1466"/>
    <mergeCell ref="G1466:P1466"/>
    <mergeCell ref="Q1466:W1466"/>
    <mergeCell ref="X1466:AG1466"/>
    <mergeCell ref="C1467:F1467"/>
    <mergeCell ref="G1467:P1467"/>
    <mergeCell ref="Q1467:W1467"/>
    <mergeCell ref="X1467:AG1467"/>
    <mergeCell ref="C1468:F1468"/>
    <mergeCell ref="G1468:P1468"/>
    <mergeCell ref="Q1468:W1468"/>
    <mergeCell ref="X1468:AG1468"/>
    <mergeCell ref="C1469:F1469"/>
    <mergeCell ref="G1469:P1469"/>
    <mergeCell ref="Q1469:W1469"/>
    <mergeCell ref="X1469:AG1469"/>
    <mergeCell ref="C1470:F1470"/>
    <mergeCell ref="G1470:P1470"/>
    <mergeCell ref="Q1470:W1470"/>
    <mergeCell ref="X1470:AG1470"/>
    <mergeCell ref="C1471:F1471"/>
    <mergeCell ref="G1471:P1471"/>
    <mergeCell ref="Q1471:W1471"/>
    <mergeCell ref="X1471:AG1471"/>
    <mergeCell ref="C1472:F1472"/>
    <mergeCell ref="G1472:P1472"/>
    <mergeCell ref="Q1472:W1472"/>
    <mergeCell ref="X1472:AG1472"/>
    <mergeCell ref="C1473:F1473"/>
    <mergeCell ref="G1473:P1473"/>
    <mergeCell ref="Q1473:W1473"/>
    <mergeCell ref="X1473:AG1473"/>
    <mergeCell ref="C1474:F1474"/>
    <mergeCell ref="G1474:P1474"/>
    <mergeCell ref="Q1474:W1474"/>
    <mergeCell ref="X1474:AG1474"/>
    <mergeCell ref="C1475:F1475"/>
    <mergeCell ref="G1475:P1475"/>
    <mergeCell ref="Q1475:W1475"/>
    <mergeCell ref="X1475:AG1475"/>
    <mergeCell ref="C1476:F1476"/>
    <mergeCell ref="G1476:P1476"/>
    <mergeCell ref="Q1476:W1476"/>
    <mergeCell ref="X1476:AG1476"/>
    <mergeCell ref="AB1482:AG1482"/>
    <mergeCell ref="V1482:AA1482"/>
    <mergeCell ref="P1482:U1482"/>
    <mergeCell ref="M1482:O1482"/>
    <mergeCell ref="E1482:L1482"/>
    <mergeCell ref="C1482:D1482"/>
    <mergeCell ref="C1483:D1483"/>
    <mergeCell ref="E1483:L1483"/>
    <mergeCell ref="M1483:O1483"/>
    <mergeCell ref="P1483:U1483"/>
    <mergeCell ref="V1483:AA1483"/>
    <mergeCell ref="AB1483:AG1483"/>
    <mergeCell ref="C1484:D1484"/>
    <mergeCell ref="E1484:L1484"/>
    <mergeCell ref="M1484:O1484"/>
    <mergeCell ref="P1484:U1484"/>
    <mergeCell ref="V1484:AA1484"/>
    <mergeCell ref="AB1484:AG1484"/>
    <mergeCell ref="C1485:D1485"/>
    <mergeCell ref="E1485:L1485"/>
    <mergeCell ref="M1485:O1485"/>
    <mergeCell ref="P1485:U1485"/>
    <mergeCell ref="V1485:AA1485"/>
    <mergeCell ref="AB1485:AG1485"/>
    <mergeCell ref="C1486:D1486"/>
    <mergeCell ref="E1486:L1486"/>
    <mergeCell ref="M1486:O1486"/>
    <mergeCell ref="P1486:U1486"/>
    <mergeCell ref="V1486:AA1486"/>
    <mergeCell ref="AB1486:AG1486"/>
    <mergeCell ref="C1487:D1487"/>
    <mergeCell ref="E1487:L1487"/>
    <mergeCell ref="M1487:O1487"/>
    <mergeCell ref="P1487:U1487"/>
    <mergeCell ref="V1487:AA1487"/>
    <mergeCell ref="AB1487:AG1487"/>
    <mergeCell ref="C1488:D1488"/>
    <mergeCell ref="E1488:L1488"/>
    <mergeCell ref="M1488:O1488"/>
    <mergeCell ref="P1488:U1488"/>
    <mergeCell ref="V1488:AA1488"/>
    <mergeCell ref="AB1488:AG1488"/>
    <mergeCell ref="C1489:D1489"/>
    <mergeCell ref="E1489:L1489"/>
    <mergeCell ref="M1489:O1489"/>
    <mergeCell ref="P1489:U1489"/>
    <mergeCell ref="V1489:AA1489"/>
    <mergeCell ref="AB1489:AG1489"/>
    <mergeCell ref="C1490:D1490"/>
    <mergeCell ref="E1490:L1490"/>
    <mergeCell ref="M1490:O1490"/>
    <mergeCell ref="P1490:U1490"/>
    <mergeCell ref="V1490:AA1490"/>
    <mergeCell ref="AB1490:AG1490"/>
    <mergeCell ref="C1491:D1491"/>
    <mergeCell ref="E1491:L1491"/>
    <mergeCell ref="M1491:O1491"/>
    <mergeCell ref="P1491:U1491"/>
    <mergeCell ref="V1491:AA1491"/>
    <mergeCell ref="AB1491:AG1491"/>
    <mergeCell ref="C1492:D1492"/>
    <mergeCell ref="E1492:L1492"/>
    <mergeCell ref="M1492:O1492"/>
    <mergeCell ref="P1492:U1492"/>
    <mergeCell ref="V1492:AA1492"/>
    <mergeCell ref="AB1492:AG1492"/>
    <mergeCell ref="C1493:D1493"/>
    <mergeCell ref="E1493:L1493"/>
    <mergeCell ref="M1493:O1493"/>
    <mergeCell ref="P1493:U1493"/>
    <mergeCell ref="V1493:AA1493"/>
    <mergeCell ref="AB1493:AG1493"/>
    <mergeCell ref="C1494:D1494"/>
    <mergeCell ref="E1494:L1494"/>
    <mergeCell ref="M1494:O1494"/>
    <mergeCell ref="P1494:U1494"/>
    <mergeCell ref="V1494:AA1494"/>
    <mergeCell ref="AB1494:AG1494"/>
    <mergeCell ref="C1498:D1498"/>
    <mergeCell ref="P1498:U1498"/>
    <mergeCell ref="V1498:AA1498"/>
    <mergeCell ref="AB1498:AG1498"/>
    <mergeCell ref="E1498:I1498"/>
    <mergeCell ref="J1498:O1498"/>
    <mergeCell ref="C1499:D1499"/>
    <mergeCell ref="E1499:I1499"/>
    <mergeCell ref="J1499:O1499"/>
    <mergeCell ref="P1499:U1499"/>
    <mergeCell ref="V1499:AA1499"/>
    <mergeCell ref="AB1499:AG1499"/>
    <mergeCell ref="C1500:D1500"/>
    <mergeCell ref="E1500:I1500"/>
    <mergeCell ref="J1500:O1500"/>
    <mergeCell ref="P1500:U1500"/>
    <mergeCell ref="V1500:AA1500"/>
    <mergeCell ref="AB1500:AG1500"/>
    <mergeCell ref="C1501:D1501"/>
    <mergeCell ref="E1501:I1501"/>
    <mergeCell ref="J1501:O1501"/>
    <mergeCell ref="P1501:U1501"/>
    <mergeCell ref="V1501:AA1501"/>
    <mergeCell ref="AB1501:AG1501"/>
    <mergeCell ref="C1502:D1502"/>
    <mergeCell ref="E1502:I1502"/>
    <mergeCell ref="J1502:O1502"/>
    <mergeCell ref="P1502:U1502"/>
    <mergeCell ref="V1502:AA1502"/>
    <mergeCell ref="AB1502:AG1502"/>
    <mergeCell ref="C1506:D1506"/>
    <mergeCell ref="E1506:I1506"/>
    <mergeCell ref="J1506:O1506"/>
    <mergeCell ref="P1506:U1506"/>
    <mergeCell ref="V1506:AA1506"/>
    <mergeCell ref="AB1506:AG1506"/>
    <mergeCell ref="C1503:D1503"/>
    <mergeCell ref="E1503:I1503"/>
    <mergeCell ref="J1503:O1503"/>
    <mergeCell ref="P1503:U1503"/>
    <mergeCell ref="V1503:AA1503"/>
    <mergeCell ref="AB1503:AG1503"/>
    <mergeCell ref="C1504:D1504"/>
    <mergeCell ref="E1504:I1504"/>
    <mergeCell ref="J1504:O1504"/>
    <mergeCell ref="P1504:U1504"/>
    <mergeCell ref="V1504:AA1504"/>
    <mergeCell ref="AB1504:AG1504"/>
    <mergeCell ref="C1505:D1505"/>
    <mergeCell ref="E1505:I1505"/>
    <mergeCell ref="J1505:O1505"/>
    <mergeCell ref="P1505:U1505"/>
    <mergeCell ref="V1505:AA1505"/>
    <mergeCell ref="AB1505:AG1505"/>
    <mergeCell ref="M1510:O1510"/>
    <mergeCell ref="P1510:R1510"/>
    <mergeCell ref="S1510:U1510"/>
    <mergeCell ref="V1510:X1510"/>
    <mergeCell ref="Y1510:AA1510"/>
    <mergeCell ref="AB1510:AD1510"/>
    <mergeCell ref="AE1510:AG1510"/>
    <mergeCell ref="C1510:L1510"/>
    <mergeCell ref="C1511:L1511"/>
    <mergeCell ref="M1511:O1511"/>
    <mergeCell ref="P1511:R1511"/>
    <mergeCell ref="S1511:U1511"/>
    <mergeCell ref="V1511:X1511"/>
    <mergeCell ref="Y1511:AA1511"/>
    <mergeCell ref="AB1511:AD1511"/>
    <mergeCell ref="AE1511:AG1511"/>
    <mergeCell ref="C1512:L1512"/>
    <mergeCell ref="M1512:O1512"/>
    <mergeCell ref="P1512:R1512"/>
    <mergeCell ref="S1512:U1512"/>
    <mergeCell ref="V1512:X1512"/>
    <mergeCell ref="Y1512:AA1512"/>
    <mergeCell ref="AB1512:AD1512"/>
    <mergeCell ref="AE1512:AG1512"/>
    <mergeCell ref="C1513:L1513"/>
    <mergeCell ref="M1513:O1513"/>
    <mergeCell ref="P1513:R1513"/>
    <mergeCell ref="S1513:U1513"/>
    <mergeCell ref="V1513:X1513"/>
    <mergeCell ref="Y1513:AA1513"/>
    <mergeCell ref="AB1513:AD1513"/>
    <mergeCell ref="AE1513:AG1513"/>
    <mergeCell ref="C1514:L1514"/>
    <mergeCell ref="M1514:O1514"/>
    <mergeCell ref="P1514:R1514"/>
    <mergeCell ref="S1514:U1514"/>
    <mergeCell ref="V1514:X1514"/>
    <mergeCell ref="Y1514:AA1514"/>
    <mergeCell ref="AB1514:AD1514"/>
    <mergeCell ref="AE1514:AG1514"/>
    <mergeCell ref="C1515:L1515"/>
    <mergeCell ref="M1515:O1515"/>
    <mergeCell ref="P1515:R1515"/>
    <mergeCell ref="S1515:U1515"/>
    <mergeCell ref="V1515:X1515"/>
    <mergeCell ref="Y1515:AA1515"/>
    <mergeCell ref="AB1515:AD1515"/>
    <mergeCell ref="AE1515:AG1515"/>
    <mergeCell ref="C1516:L1516"/>
    <mergeCell ref="M1516:O1516"/>
    <mergeCell ref="P1516:R1516"/>
    <mergeCell ref="S1516:U1516"/>
    <mergeCell ref="V1516:X1516"/>
    <mergeCell ref="Y1516:AA1516"/>
    <mergeCell ref="AB1516:AD1516"/>
    <mergeCell ref="AE1516:AG1516"/>
    <mergeCell ref="C1517:L1517"/>
    <mergeCell ref="M1517:O1517"/>
    <mergeCell ref="P1517:R1517"/>
    <mergeCell ref="S1517:U1517"/>
    <mergeCell ref="V1517:X1517"/>
    <mergeCell ref="Y1517:AA1517"/>
    <mergeCell ref="AB1517:AD1517"/>
    <mergeCell ref="AE1517:AG1517"/>
    <mergeCell ref="C1518:L1518"/>
    <mergeCell ref="M1518:O1518"/>
    <mergeCell ref="P1518:R1518"/>
    <mergeCell ref="S1518:U1518"/>
    <mergeCell ref="V1518:X1518"/>
    <mergeCell ref="Y1518:AA1518"/>
    <mergeCell ref="AB1518:AD1518"/>
    <mergeCell ref="AE1518:AG1518"/>
    <mergeCell ref="C1519:L1519"/>
    <mergeCell ref="M1519:O1519"/>
    <mergeCell ref="P1519:R1519"/>
    <mergeCell ref="S1519:U1519"/>
    <mergeCell ref="V1519:X1519"/>
    <mergeCell ref="Y1519:AA1519"/>
    <mergeCell ref="AB1519:AD1519"/>
    <mergeCell ref="AE1519:AG1519"/>
    <mergeCell ref="C1520:L1520"/>
    <mergeCell ref="M1520:O1520"/>
    <mergeCell ref="P1520:R1520"/>
    <mergeCell ref="S1520:U1520"/>
    <mergeCell ref="V1520:X1520"/>
    <mergeCell ref="Y1520:AA1520"/>
    <mergeCell ref="AB1520:AD1520"/>
    <mergeCell ref="AE1520:AG1520"/>
    <mergeCell ref="C1521:L1521"/>
    <mergeCell ref="M1521:O1521"/>
    <mergeCell ref="P1521:R1521"/>
    <mergeCell ref="S1521:U1521"/>
    <mergeCell ref="V1521:X1521"/>
    <mergeCell ref="Y1521:AA1521"/>
    <mergeCell ref="AB1521:AD1521"/>
    <mergeCell ref="AE1521:AG1521"/>
    <mergeCell ref="C1522:L1522"/>
    <mergeCell ref="M1522:O1522"/>
    <mergeCell ref="P1522:R1522"/>
    <mergeCell ref="S1522:U1522"/>
    <mergeCell ref="V1522:X1522"/>
    <mergeCell ref="Y1522:AA1522"/>
    <mergeCell ref="AB1522:AD1522"/>
    <mergeCell ref="AE1522:AG1522"/>
    <mergeCell ref="C1523:L1523"/>
    <mergeCell ref="M1523:O1523"/>
    <mergeCell ref="P1523:R1523"/>
    <mergeCell ref="S1523:U1523"/>
    <mergeCell ref="V1523:X1523"/>
    <mergeCell ref="Y1523:AA1523"/>
    <mergeCell ref="AB1523:AD1523"/>
    <mergeCell ref="AE1523:AG1523"/>
    <mergeCell ref="C1524:L1524"/>
    <mergeCell ref="M1524:O1524"/>
    <mergeCell ref="P1524:R1524"/>
    <mergeCell ref="S1524:U1524"/>
    <mergeCell ref="V1524:X1524"/>
    <mergeCell ref="Y1524:AA1524"/>
    <mergeCell ref="AB1524:AD1524"/>
    <mergeCell ref="AE1524:AG1524"/>
    <mergeCell ref="C1525:L1525"/>
    <mergeCell ref="M1525:O1525"/>
    <mergeCell ref="P1525:R1525"/>
    <mergeCell ref="S1525:U1525"/>
    <mergeCell ref="V1525:X1525"/>
    <mergeCell ref="Y1525:AA1525"/>
    <mergeCell ref="AB1525:AD1525"/>
    <mergeCell ref="AE1525:AG1525"/>
    <mergeCell ref="C1526:L1526"/>
    <mergeCell ref="M1526:O1526"/>
    <mergeCell ref="P1526:R1526"/>
    <mergeCell ref="S1526:U1526"/>
    <mergeCell ref="V1526:X1526"/>
    <mergeCell ref="Y1526:AA1526"/>
    <mergeCell ref="AB1526:AD1526"/>
    <mergeCell ref="AE1526:AG1526"/>
    <mergeCell ref="C1527:L1527"/>
    <mergeCell ref="M1527:O1527"/>
    <mergeCell ref="P1527:R1527"/>
    <mergeCell ref="S1527:U1527"/>
    <mergeCell ref="V1527:X1527"/>
    <mergeCell ref="Y1527:AA1527"/>
    <mergeCell ref="AB1527:AD1527"/>
    <mergeCell ref="AE1527:AG1527"/>
    <mergeCell ref="C1528:L1528"/>
    <mergeCell ref="M1528:O1528"/>
    <mergeCell ref="P1528:R1528"/>
    <mergeCell ref="S1528:U1528"/>
    <mergeCell ref="V1528:X1528"/>
    <mergeCell ref="Y1528:AA1528"/>
    <mergeCell ref="AB1528:AD1528"/>
    <mergeCell ref="AE1528:AG1528"/>
    <mergeCell ref="C1529:L1529"/>
    <mergeCell ref="M1529:O1529"/>
    <mergeCell ref="P1529:R1529"/>
    <mergeCell ref="S1529:U1529"/>
    <mergeCell ref="V1529:X1529"/>
    <mergeCell ref="Y1529:AA1529"/>
    <mergeCell ref="AB1529:AD1529"/>
    <mergeCell ref="AE1529:AG1529"/>
    <mergeCell ref="C1530:L1530"/>
    <mergeCell ref="M1530:O1530"/>
    <mergeCell ref="P1530:R1530"/>
    <mergeCell ref="S1530:U1530"/>
    <mergeCell ref="V1530:X1530"/>
    <mergeCell ref="Y1530:AA1530"/>
    <mergeCell ref="AB1530:AD1530"/>
    <mergeCell ref="AE1530:AG1530"/>
    <mergeCell ref="C1531:L1531"/>
    <mergeCell ref="M1531:O1531"/>
    <mergeCell ref="P1531:R1531"/>
    <mergeCell ref="S1531:U1531"/>
    <mergeCell ref="V1531:X1531"/>
    <mergeCell ref="Y1531:AA1531"/>
    <mergeCell ref="AB1531:AD1531"/>
    <mergeCell ref="AE1531:AG1531"/>
    <mergeCell ref="C1532:L1532"/>
    <mergeCell ref="M1532:O1532"/>
    <mergeCell ref="P1532:R1532"/>
    <mergeCell ref="S1532:U1532"/>
    <mergeCell ref="V1532:X1532"/>
    <mergeCell ref="Y1532:AA1532"/>
    <mergeCell ref="AB1532:AD1532"/>
    <mergeCell ref="AE1532:AG1532"/>
    <mergeCell ref="C1533:L1533"/>
    <mergeCell ref="M1533:O1533"/>
    <mergeCell ref="P1533:R1533"/>
    <mergeCell ref="S1533:U1533"/>
    <mergeCell ref="V1533:X1533"/>
    <mergeCell ref="Y1533:AA1533"/>
    <mergeCell ref="AB1533:AD1533"/>
    <mergeCell ref="AE1533:AG1533"/>
    <mergeCell ref="C1534:L1534"/>
    <mergeCell ref="M1534:O1534"/>
    <mergeCell ref="P1534:R1534"/>
    <mergeCell ref="S1534:U1534"/>
    <mergeCell ref="V1534:X1534"/>
    <mergeCell ref="Y1534:AA1534"/>
    <mergeCell ref="AB1534:AD1534"/>
    <mergeCell ref="AE1534:AG1534"/>
    <mergeCell ref="C1535:L1535"/>
    <mergeCell ref="M1535:O1535"/>
    <mergeCell ref="P1535:R1535"/>
    <mergeCell ref="S1535:U1535"/>
    <mergeCell ref="V1535:X1535"/>
    <mergeCell ref="Y1535:AA1535"/>
    <mergeCell ref="AB1535:AD1535"/>
    <mergeCell ref="AE1535:AG1535"/>
    <mergeCell ref="C1536:L1536"/>
    <mergeCell ref="M1536:O1536"/>
    <mergeCell ref="P1536:R1536"/>
    <mergeCell ref="S1536:U1536"/>
    <mergeCell ref="V1536:X1536"/>
    <mergeCell ref="Y1536:AA1536"/>
    <mergeCell ref="AB1536:AD1536"/>
    <mergeCell ref="AE1536:AG1536"/>
    <mergeCell ref="C1537:L1537"/>
    <mergeCell ref="M1537:O1537"/>
    <mergeCell ref="P1537:R1537"/>
    <mergeCell ref="S1537:U1537"/>
    <mergeCell ref="V1537:X1537"/>
    <mergeCell ref="Y1537:AA1537"/>
    <mergeCell ref="AB1537:AD1537"/>
    <mergeCell ref="AE1537:AG1537"/>
    <mergeCell ref="C1538:L1538"/>
    <mergeCell ref="M1538:O1538"/>
    <mergeCell ref="P1538:R1538"/>
    <mergeCell ref="S1538:U1538"/>
    <mergeCell ref="V1538:X1538"/>
    <mergeCell ref="Y1538:AA1538"/>
    <mergeCell ref="AB1538:AD1538"/>
    <mergeCell ref="AE1538:AG1538"/>
    <mergeCell ref="C1539:L1539"/>
    <mergeCell ref="M1539:O1539"/>
    <mergeCell ref="P1539:R1539"/>
    <mergeCell ref="S1539:U1539"/>
    <mergeCell ref="V1539:X1539"/>
    <mergeCell ref="Y1539:AA1539"/>
    <mergeCell ref="AB1539:AD1539"/>
    <mergeCell ref="AE1539:AG1539"/>
    <mergeCell ref="C1540:L1540"/>
    <mergeCell ref="M1540:O1540"/>
    <mergeCell ref="P1540:R1540"/>
    <mergeCell ref="S1540:U1540"/>
    <mergeCell ref="V1540:X1540"/>
    <mergeCell ref="Y1540:AA1540"/>
    <mergeCell ref="AB1540:AD1540"/>
    <mergeCell ref="AE1540:AG1540"/>
    <mergeCell ref="M1544:O1544"/>
    <mergeCell ref="P1544:R1544"/>
    <mergeCell ref="S1544:U1544"/>
    <mergeCell ref="V1544:X1544"/>
    <mergeCell ref="Y1544:AA1544"/>
    <mergeCell ref="AB1544:AD1544"/>
    <mergeCell ref="AE1544:AG1544"/>
    <mergeCell ref="D1544:L1544"/>
    <mergeCell ref="D1545:L1545"/>
    <mergeCell ref="M1545:O1545"/>
    <mergeCell ref="P1545:R1545"/>
    <mergeCell ref="S1545:U1545"/>
    <mergeCell ref="V1545:X1545"/>
    <mergeCell ref="Y1545:AA1545"/>
    <mergeCell ref="AB1545:AD1545"/>
    <mergeCell ref="AE1545:AG1545"/>
    <mergeCell ref="D1546:L1546"/>
    <mergeCell ref="M1546:O1546"/>
    <mergeCell ref="P1546:R1546"/>
    <mergeCell ref="S1546:U1546"/>
    <mergeCell ref="V1546:X1546"/>
    <mergeCell ref="Y1546:AA1546"/>
    <mergeCell ref="AB1546:AD1546"/>
    <mergeCell ref="AE1546:AG1546"/>
    <mergeCell ref="D1547:L1547"/>
    <mergeCell ref="M1547:O1547"/>
    <mergeCell ref="P1547:R1547"/>
    <mergeCell ref="S1547:U1547"/>
    <mergeCell ref="V1547:X1547"/>
    <mergeCell ref="Y1547:AA1547"/>
    <mergeCell ref="AB1547:AD1547"/>
    <mergeCell ref="AE1547:AG1547"/>
    <mergeCell ref="D1548:L1548"/>
    <mergeCell ref="M1548:O1548"/>
    <mergeCell ref="P1548:R1548"/>
    <mergeCell ref="S1548:U1548"/>
    <mergeCell ref="V1548:X1548"/>
    <mergeCell ref="Y1548:AA1548"/>
    <mergeCell ref="AB1548:AD1548"/>
    <mergeCell ref="AE1548:AG1548"/>
    <mergeCell ref="D1549:L1549"/>
    <mergeCell ref="M1549:O1549"/>
    <mergeCell ref="P1549:R1549"/>
    <mergeCell ref="S1549:U1549"/>
    <mergeCell ref="V1549:X1549"/>
    <mergeCell ref="Y1549:AA1549"/>
    <mergeCell ref="AB1549:AD1549"/>
    <mergeCell ref="AE1549:AG1549"/>
    <mergeCell ref="D1550:L1550"/>
    <mergeCell ref="M1550:O1550"/>
    <mergeCell ref="P1550:R1550"/>
    <mergeCell ref="S1550:U1550"/>
    <mergeCell ref="V1550:X1550"/>
    <mergeCell ref="Y1550:AA1550"/>
    <mergeCell ref="AB1550:AD1550"/>
    <mergeCell ref="AE1550:AG1550"/>
    <mergeCell ref="D1551:L1551"/>
    <mergeCell ref="M1551:O1551"/>
    <mergeCell ref="P1551:R1551"/>
    <mergeCell ref="S1551:U1551"/>
    <mergeCell ref="V1551:X1551"/>
    <mergeCell ref="Y1551:AA1551"/>
    <mergeCell ref="AB1551:AD1551"/>
    <mergeCell ref="AE1551:AG1551"/>
    <mergeCell ref="D1552:L1552"/>
    <mergeCell ref="M1552:O1552"/>
    <mergeCell ref="P1552:R1552"/>
    <mergeCell ref="S1552:U1552"/>
    <mergeCell ref="V1552:X1552"/>
    <mergeCell ref="Y1552:AA1552"/>
    <mergeCell ref="AB1552:AD1552"/>
    <mergeCell ref="AE1552:AG1552"/>
    <mergeCell ref="D1553:L1553"/>
    <mergeCell ref="M1553:O1553"/>
    <mergeCell ref="P1553:R1553"/>
    <mergeCell ref="S1553:U1553"/>
    <mergeCell ref="V1553:X1553"/>
    <mergeCell ref="Y1553:AA1553"/>
    <mergeCell ref="AB1553:AD1553"/>
    <mergeCell ref="AE1553:AG1553"/>
    <mergeCell ref="D1554:L1554"/>
    <mergeCell ref="M1554:O1554"/>
    <mergeCell ref="P1554:R1554"/>
    <mergeCell ref="S1554:U1554"/>
    <mergeCell ref="V1554:X1554"/>
    <mergeCell ref="Y1554:AA1554"/>
    <mergeCell ref="AB1554:AD1554"/>
    <mergeCell ref="AE1554:AG1554"/>
    <mergeCell ref="D1555:L1555"/>
    <mergeCell ref="M1555:O1555"/>
    <mergeCell ref="P1555:R1555"/>
    <mergeCell ref="S1555:U1555"/>
    <mergeCell ref="V1555:X1555"/>
    <mergeCell ref="Y1555:AA1555"/>
    <mergeCell ref="AB1555:AD1555"/>
    <mergeCell ref="AE1555:AG1555"/>
    <mergeCell ref="D1556:L1556"/>
    <mergeCell ref="M1556:O1556"/>
    <mergeCell ref="P1556:R1556"/>
    <mergeCell ref="S1556:U1556"/>
    <mergeCell ref="V1556:X1556"/>
    <mergeCell ref="Y1556:AA1556"/>
    <mergeCell ref="AB1556:AD1556"/>
    <mergeCell ref="AE1556:AG1556"/>
    <mergeCell ref="D1557:L1557"/>
    <mergeCell ref="M1557:O1557"/>
    <mergeCell ref="P1557:R1557"/>
    <mergeCell ref="S1557:U1557"/>
    <mergeCell ref="V1557:X1557"/>
    <mergeCell ref="Y1557:AA1557"/>
    <mergeCell ref="AB1557:AD1557"/>
    <mergeCell ref="AE1557:AG1557"/>
    <mergeCell ref="D1558:L1558"/>
    <mergeCell ref="M1558:O1558"/>
    <mergeCell ref="P1558:R1558"/>
    <mergeCell ref="S1558:U1558"/>
    <mergeCell ref="V1558:X1558"/>
    <mergeCell ref="Y1558:AA1558"/>
    <mergeCell ref="AB1558:AD1558"/>
    <mergeCell ref="AE1558:AG1558"/>
    <mergeCell ref="D1559:L1559"/>
    <mergeCell ref="M1559:O1559"/>
    <mergeCell ref="P1559:R1559"/>
    <mergeCell ref="S1559:U1559"/>
    <mergeCell ref="V1559:X1559"/>
    <mergeCell ref="Y1559:AA1559"/>
    <mergeCell ref="AB1559:AD1559"/>
    <mergeCell ref="AE1559:AG1559"/>
    <mergeCell ref="D1560:L1560"/>
    <mergeCell ref="M1560:O1560"/>
    <mergeCell ref="P1560:R1560"/>
    <mergeCell ref="S1560:U1560"/>
    <mergeCell ref="V1560:X1560"/>
    <mergeCell ref="Y1560:AA1560"/>
    <mergeCell ref="AB1560:AD1560"/>
    <mergeCell ref="AE1560:AG1560"/>
    <mergeCell ref="D1561:L1561"/>
    <mergeCell ref="M1561:O1561"/>
    <mergeCell ref="P1561:R1561"/>
    <mergeCell ref="S1561:U1561"/>
    <mergeCell ref="V1561:X1561"/>
    <mergeCell ref="Y1561:AA1561"/>
    <mergeCell ref="AB1561:AD1561"/>
    <mergeCell ref="AE1561:AG1561"/>
    <mergeCell ref="D1562:L1562"/>
    <mergeCell ref="M1562:O1562"/>
    <mergeCell ref="P1562:R1562"/>
    <mergeCell ref="S1562:U1562"/>
    <mergeCell ref="V1562:X1562"/>
    <mergeCell ref="Y1562:AA1562"/>
    <mergeCell ref="AB1562:AD1562"/>
    <mergeCell ref="AE1562:AG1562"/>
    <mergeCell ref="D1563:L1563"/>
    <mergeCell ref="M1563:O1563"/>
    <mergeCell ref="P1563:R1563"/>
    <mergeCell ref="S1563:U1563"/>
    <mergeCell ref="V1563:X1563"/>
    <mergeCell ref="Y1563:AA1563"/>
    <mergeCell ref="AB1563:AD1563"/>
    <mergeCell ref="AE1563:AG1563"/>
    <mergeCell ref="D1564:L1564"/>
    <mergeCell ref="M1564:O1564"/>
    <mergeCell ref="P1564:R1564"/>
    <mergeCell ref="S1564:U1564"/>
    <mergeCell ref="V1564:X1564"/>
    <mergeCell ref="Y1564:AA1564"/>
    <mergeCell ref="AB1564:AD1564"/>
    <mergeCell ref="AE1564:AG1564"/>
    <mergeCell ref="D1565:L1565"/>
    <mergeCell ref="M1565:O1565"/>
    <mergeCell ref="P1565:R1565"/>
    <mergeCell ref="S1565:U1565"/>
    <mergeCell ref="V1565:X1565"/>
    <mergeCell ref="Y1565:AA1565"/>
    <mergeCell ref="AB1565:AD1565"/>
    <mergeCell ref="AE1565:AG1565"/>
    <mergeCell ref="D1566:L1566"/>
    <mergeCell ref="M1566:O1566"/>
    <mergeCell ref="P1566:R1566"/>
    <mergeCell ref="S1566:U1566"/>
    <mergeCell ref="V1566:X1566"/>
    <mergeCell ref="Y1566:AA1566"/>
    <mergeCell ref="AB1566:AD1566"/>
    <mergeCell ref="AE1566:AG1566"/>
    <mergeCell ref="D1567:L1567"/>
    <mergeCell ref="M1567:O1567"/>
    <mergeCell ref="P1567:R1567"/>
    <mergeCell ref="S1567:U1567"/>
    <mergeCell ref="V1567:X1567"/>
    <mergeCell ref="Y1567:AA1567"/>
    <mergeCell ref="AB1567:AD1567"/>
    <mergeCell ref="AE1567:AG1567"/>
    <mergeCell ref="D1568:L1568"/>
    <mergeCell ref="M1568:O1568"/>
    <mergeCell ref="P1568:R1568"/>
    <mergeCell ref="S1568:U1568"/>
    <mergeCell ref="V1568:X1568"/>
    <mergeCell ref="Y1568:AA1568"/>
    <mergeCell ref="AB1568:AD1568"/>
    <mergeCell ref="AE1568:AG1568"/>
    <mergeCell ref="D1569:L1569"/>
    <mergeCell ref="M1569:O1569"/>
    <mergeCell ref="P1569:R1569"/>
    <mergeCell ref="S1569:U1569"/>
    <mergeCell ref="V1569:X1569"/>
    <mergeCell ref="Y1569:AA1569"/>
    <mergeCell ref="AB1569:AD1569"/>
    <mergeCell ref="AE1569:AG1569"/>
    <mergeCell ref="D1570:L1570"/>
    <mergeCell ref="M1570:O1570"/>
    <mergeCell ref="P1570:R1570"/>
    <mergeCell ref="S1570:U1570"/>
    <mergeCell ref="V1570:X1570"/>
    <mergeCell ref="Y1570:AA1570"/>
    <mergeCell ref="AB1570:AD1570"/>
    <mergeCell ref="AE1570:AG1570"/>
    <mergeCell ref="D1571:L1571"/>
    <mergeCell ref="M1571:O1571"/>
    <mergeCell ref="P1571:R1571"/>
    <mergeCell ref="S1571:U1571"/>
    <mergeCell ref="V1571:X1571"/>
    <mergeCell ref="Y1571:AA1571"/>
    <mergeCell ref="AB1571:AD1571"/>
    <mergeCell ref="AE1571:AG1571"/>
    <mergeCell ref="M1576:O1576"/>
    <mergeCell ref="P1576:R1576"/>
    <mergeCell ref="S1576:U1576"/>
    <mergeCell ref="V1576:X1576"/>
    <mergeCell ref="Y1576:AA1576"/>
    <mergeCell ref="AB1576:AD1576"/>
    <mergeCell ref="AE1576:AG1576"/>
    <mergeCell ref="C1576:L1576"/>
    <mergeCell ref="C1577:L1577"/>
    <mergeCell ref="M1577:O1577"/>
    <mergeCell ref="P1577:R1577"/>
    <mergeCell ref="S1577:U1577"/>
    <mergeCell ref="V1577:X1577"/>
    <mergeCell ref="Y1577:AA1577"/>
    <mergeCell ref="AB1577:AD1577"/>
    <mergeCell ref="AE1577:AG1577"/>
    <mergeCell ref="D1572:L1572"/>
    <mergeCell ref="M1572:O1572"/>
    <mergeCell ref="P1572:R1572"/>
    <mergeCell ref="S1572:U1572"/>
    <mergeCell ref="V1572:X1572"/>
    <mergeCell ref="Y1572:AA1572"/>
    <mergeCell ref="AB1572:AD1572"/>
    <mergeCell ref="AE1572:AG1572"/>
    <mergeCell ref="C1578:L1578"/>
    <mergeCell ref="M1578:O1578"/>
    <mergeCell ref="P1578:R1578"/>
    <mergeCell ref="S1578:U1578"/>
    <mergeCell ref="V1578:X1578"/>
    <mergeCell ref="Y1578:AA1578"/>
    <mergeCell ref="AB1578:AD1578"/>
    <mergeCell ref="AE1578:AG1578"/>
    <mergeCell ref="C1579:L1579"/>
    <mergeCell ref="M1579:O1579"/>
    <mergeCell ref="P1579:R1579"/>
    <mergeCell ref="S1579:U1579"/>
    <mergeCell ref="V1579:X1579"/>
    <mergeCell ref="Y1579:AA1579"/>
    <mergeCell ref="AB1579:AD1579"/>
    <mergeCell ref="AE1579:AG1579"/>
    <mergeCell ref="C1580:L1580"/>
    <mergeCell ref="M1580:O1580"/>
    <mergeCell ref="P1580:R1580"/>
    <mergeCell ref="S1580:U1580"/>
    <mergeCell ref="V1580:X1580"/>
    <mergeCell ref="Y1580:AA1580"/>
    <mergeCell ref="AB1580:AD1580"/>
    <mergeCell ref="AE1580:AG1580"/>
    <mergeCell ref="C1581:L1581"/>
    <mergeCell ref="M1581:O1581"/>
    <mergeCell ref="P1581:R1581"/>
    <mergeCell ref="S1581:U1581"/>
    <mergeCell ref="V1581:X1581"/>
    <mergeCell ref="Y1581:AA1581"/>
    <mergeCell ref="AB1581:AD1581"/>
    <mergeCell ref="AE1581:AG1581"/>
    <mergeCell ref="C1582:L1582"/>
    <mergeCell ref="M1582:O1582"/>
    <mergeCell ref="P1582:R1582"/>
    <mergeCell ref="S1582:U1582"/>
    <mergeCell ref="V1582:X1582"/>
    <mergeCell ref="Y1582:AA1582"/>
    <mergeCell ref="AB1582:AD1582"/>
    <mergeCell ref="AE1582:AG1582"/>
    <mergeCell ref="C1583:L1583"/>
    <mergeCell ref="M1583:O1583"/>
    <mergeCell ref="P1583:R1583"/>
    <mergeCell ref="S1583:U1583"/>
    <mergeCell ref="V1583:X1583"/>
    <mergeCell ref="Y1583:AA1583"/>
    <mergeCell ref="AB1583:AD1583"/>
    <mergeCell ref="AE1583:AG1583"/>
    <mergeCell ref="C1584:L1584"/>
    <mergeCell ref="M1584:O1584"/>
    <mergeCell ref="P1584:R1584"/>
    <mergeCell ref="S1584:U1584"/>
    <mergeCell ref="V1584:X1584"/>
    <mergeCell ref="Y1584:AA1584"/>
    <mergeCell ref="AB1584:AD1584"/>
    <mergeCell ref="AE1584:AG1584"/>
    <mergeCell ref="C1585:L1585"/>
    <mergeCell ref="M1585:O1585"/>
    <mergeCell ref="P1585:R1585"/>
    <mergeCell ref="S1585:U1585"/>
    <mergeCell ref="V1585:X1585"/>
    <mergeCell ref="Y1585:AA1585"/>
    <mergeCell ref="AB1585:AD1585"/>
    <mergeCell ref="AE1585:AG1585"/>
    <mergeCell ref="C1586:L1586"/>
    <mergeCell ref="M1586:O1586"/>
    <mergeCell ref="P1586:R1586"/>
    <mergeCell ref="S1586:U1586"/>
    <mergeCell ref="V1586:X1586"/>
    <mergeCell ref="Y1586:AA1586"/>
    <mergeCell ref="AB1586:AD1586"/>
    <mergeCell ref="AE1586:AG1586"/>
    <mergeCell ref="C1587:L1587"/>
    <mergeCell ref="M1587:O1587"/>
    <mergeCell ref="P1587:R1587"/>
    <mergeCell ref="S1587:U1587"/>
    <mergeCell ref="V1587:X1587"/>
    <mergeCell ref="Y1587:AA1587"/>
    <mergeCell ref="AB1587:AD1587"/>
    <mergeCell ref="AE1587:AG1587"/>
    <mergeCell ref="C1588:L1588"/>
    <mergeCell ref="M1588:O1588"/>
    <mergeCell ref="P1588:R1588"/>
    <mergeCell ref="S1588:U1588"/>
    <mergeCell ref="V1588:X1588"/>
    <mergeCell ref="Y1588:AA1588"/>
    <mergeCell ref="AB1588:AD1588"/>
    <mergeCell ref="AE1588:AG1588"/>
    <mergeCell ref="C1589:L1589"/>
    <mergeCell ref="M1589:O1589"/>
    <mergeCell ref="P1589:R1589"/>
    <mergeCell ref="S1589:U1589"/>
    <mergeCell ref="V1589:X1589"/>
    <mergeCell ref="Y1589:AA1589"/>
    <mergeCell ref="AB1589:AD1589"/>
    <mergeCell ref="AE1589:AG1589"/>
    <mergeCell ref="C1590:L1590"/>
    <mergeCell ref="M1590:O1590"/>
    <mergeCell ref="P1590:R1590"/>
    <mergeCell ref="S1590:U1590"/>
    <mergeCell ref="V1590:X1590"/>
    <mergeCell ref="Y1590:AA1590"/>
    <mergeCell ref="AB1590:AD1590"/>
    <mergeCell ref="AE1590:AG1590"/>
    <mergeCell ref="C1591:L1591"/>
    <mergeCell ref="M1591:O1591"/>
    <mergeCell ref="P1591:R1591"/>
    <mergeCell ref="S1591:U1591"/>
    <mergeCell ref="V1591:X1591"/>
    <mergeCell ref="Y1591:AA1591"/>
    <mergeCell ref="AB1591:AD1591"/>
    <mergeCell ref="AE1591:AG1591"/>
    <mergeCell ref="C1592:L1592"/>
    <mergeCell ref="M1592:O1592"/>
    <mergeCell ref="P1592:R1592"/>
    <mergeCell ref="S1592:U1592"/>
    <mergeCell ref="V1592:X1592"/>
    <mergeCell ref="Y1592:AA1592"/>
    <mergeCell ref="AB1592:AD1592"/>
    <mergeCell ref="AE1592:AG1592"/>
    <mergeCell ref="C1593:L1593"/>
    <mergeCell ref="M1593:O1593"/>
    <mergeCell ref="P1593:R1593"/>
    <mergeCell ref="S1593:U1593"/>
    <mergeCell ref="V1593:X1593"/>
    <mergeCell ref="Y1593:AA1593"/>
    <mergeCell ref="AB1593:AD1593"/>
    <mergeCell ref="AE1593:AG1593"/>
    <mergeCell ref="C1594:L1594"/>
    <mergeCell ref="M1594:O1594"/>
    <mergeCell ref="P1594:R1594"/>
    <mergeCell ref="S1594:U1594"/>
    <mergeCell ref="V1594:X1594"/>
    <mergeCell ref="Y1594:AA1594"/>
    <mergeCell ref="AB1594:AD1594"/>
    <mergeCell ref="AE1594:AG1594"/>
    <mergeCell ref="C1595:L1595"/>
    <mergeCell ref="M1595:O1595"/>
    <mergeCell ref="P1595:R1595"/>
    <mergeCell ref="S1595:U1595"/>
    <mergeCell ref="V1595:X1595"/>
    <mergeCell ref="Y1595:AA1595"/>
    <mergeCell ref="AB1595:AD1595"/>
    <mergeCell ref="AE1595:AG1595"/>
    <mergeCell ref="C1596:L1596"/>
    <mergeCell ref="M1596:O1596"/>
    <mergeCell ref="P1596:R1596"/>
    <mergeCell ref="S1596:U1596"/>
    <mergeCell ref="V1596:X1596"/>
    <mergeCell ref="Y1596:AA1596"/>
    <mergeCell ref="AB1596:AD1596"/>
    <mergeCell ref="AE1596:AG1596"/>
    <mergeCell ref="C1597:L1597"/>
    <mergeCell ref="M1597:O1597"/>
    <mergeCell ref="P1597:R1597"/>
    <mergeCell ref="S1597:U1597"/>
    <mergeCell ref="V1597:X1597"/>
    <mergeCell ref="Y1597:AA1597"/>
    <mergeCell ref="AB1597:AD1597"/>
    <mergeCell ref="AE1597:AG1597"/>
    <mergeCell ref="C1598:L1598"/>
    <mergeCell ref="M1598:O1598"/>
    <mergeCell ref="P1598:R1598"/>
    <mergeCell ref="S1598:U1598"/>
    <mergeCell ref="V1598:X1598"/>
    <mergeCell ref="Y1598:AA1598"/>
    <mergeCell ref="AB1598:AD1598"/>
    <mergeCell ref="AE1598:AG1598"/>
    <mergeCell ref="C1599:L1599"/>
    <mergeCell ref="M1599:O1599"/>
    <mergeCell ref="P1599:R1599"/>
    <mergeCell ref="S1599:U1599"/>
    <mergeCell ref="V1599:X1599"/>
    <mergeCell ref="Y1599:AA1599"/>
    <mergeCell ref="AB1599:AD1599"/>
    <mergeCell ref="AE1599:AG1599"/>
    <mergeCell ref="C1600:L1600"/>
    <mergeCell ref="M1600:O1600"/>
    <mergeCell ref="P1600:R1600"/>
    <mergeCell ref="S1600:U1600"/>
    <mergeCell ref="V1600:X1600"/>
    <mergeCell ref="Y1600:AA1600"/>
    <mergeCell ref="AB1600:AD1600"/>
    <mergeCell ref="AE1600:AG1600"/>
    <mergeCell ref="C1601:L1601"/>
    <mergeCell ref="M1601:O1601"/>
    <mergeCell ref="P1601:R1601"/>
    <mergeCell ref="S1601:U1601"/>
    <mergeCell ref="V1601:X1601"/>
    <mergeCell ref="Y1601:AA1601"/>
    <mergeCell ref="AB1601:AD1601"/>
    <mergeCell ref="AE1601:AG1601"/>
    <mergeCell ref="C1602:L1602"/>
    <mergeCell ref="M1602:O1602"/>
    <mergeCell ref="P1602:R1602"/>
    <mergeCell ref="S1602:U1602"/>
    <mergeCell ref="V1602:X1602"/>
    <mergeCell ref="Y1602:AA1602"/>
    <mergeCell ref="AB1602:AD1602"/>
    <mergeCell ref="AE1602:AG1602"/>
    <mergeCell ref="C1603:L1603"/>
    <mergeCell ref="M1603:O1603"/>
    <mergeCell ref="P1603:R1603"/>
    <mergeCell ref="S1603:U1603"/>
    <mergeCell ref="V1603:X1603"/>
    <mergeCell ref="Y1603:AA1603"/>
    <mergeCell ref="AB1603:AD1603"/>
    <mergeCell ref="AE1603:AG1603"/>
    <mergeCell ref="C1604:L1604"/>
    <mergeCell ref="M1604:O1604"/>
    <mergeCell ref="P1604:R1604"/>
    <mergeCell ref="S1604:U1604"/>
    <mergeCell ref="V1604:X1604"/>
    <mergeCell ref="Y1604:AA1604"/>
    <mergeCell ref="AB1604:AD1604"/>
    <mergeCell ref="AE1604:AG1604"/>
    <mergeCell ref="C1605:L1605"/>
    <mergeCell ref="M1605:O1605"/>
    <mergeCell ref="P1605:R1605"/>
    <mergeCell ref="S1605:U1605"/>
    <mergeCell ref="V1605:X1605"/>
    <mergeCell ref="Y1605:AA1605"/>
    <mergeCell ref="AB1605:AD1605"/>
    <mergeCell ref="AE1605:AG1605"/>
    <mergeCell ref="C1606:L1606"/>
    <mergeCell ref="M1606:O1606"/>
    <mergeCell ref="P1606:R1606"/>
    <mergeCell ref="S1606:U1606"/>
    <mergeCell ref="V1606:X1606"/>
    <mergeCell ref="Y1606:AA1606"/>
    <mergeCell ref="AB1606:AD1606"/>
    <mergeCell ref="AE1606:AG1606"/>
    <mergeCell ref="C1607:L1607"/>
    <mergeCell ref="M1607:O1607"/>
    <mergeCell ref="P1607:R1607"/>
    <mergeCell ref="S1607:U1607"/>
    <mergeCell ref="V1607:X1607"/>
    <mergeCell ref="Y1607:AA1607"/>
    <mergeCell ref="AB1607:AD1607"/>
    <mergeCell ref="AE1607:AG1607"/>
    <mergeCell ref="C1608:L1608"/>
    <mergeCell ref="M1608:O1608"/>
    <mergeCell ref="P1608:R1608"/>
    <mergeCell ref="S1608:U1608"/>
    <mergeCell ref="V1608:X1608"/>
    <mergeCell ref="Y1608:AA1608"/>
    <mergeCell ref="AB1608:AD1608"/>
    <mergeCell ref="AE1608:AG1608"/>
    <mergeCell ref="C1609:L1609"/>
    <mergeCell ref="M1609:O1609"/>
    <mergeCell ref="P1609:R1609"/>
    <mergeCell ref="S1609:U1609"/>
    <mergeCell ref="V1609:X1609"/>
    <mergeCell ref="Y1609:AA1609"/>
    <mergeCell ref="AB1609:AD1609"/>
    <mergeCell ref="AE1609:AG1609"/>
    <mergeCell ref="C1610:L1610"/>
    <mergeCell ref="M1610:O1610"/>
    <mergeCell ref="P1610:R1610"/>
    <mergeCell ref="S1610:U1610"/>
    <mergeCell ref="V1610:X1610"/>
    <mergeCell ref="Y1610:AA1610"/>
    <mergeCell ref="AB1610:AD1610"/>
    <mergeCell ref="AE1610:AG1610"/>
    <mergeCell ref="C1611:L1611"/>
    <mergeCell ref="M1611:O1611"/>
    <mergeCell ref="P1611:R1611"/>
    <mergeCell ref="S1611:U1611"/>
    <mergeCell ref="V1611:X1611"/>
    <mergeCell ref="Y1611:AA1611"/>
    <mergeCell ref="AB1611:AD1611"/>
    <mergeCell ref="AE1611:AG1611"/>
    <mergeCell ref="C1612:L1612"/>
    <mergeCell ref="M1612:O1612"/>
    <mergeCell ref="P1612:R1612"/>
    <mergeCell ref="S1612:U1612"/>
    <mergeCell ref="V1612:X1612"/>
    <mergeCell ref="Y1612:AA1612"/>
    <mergeCell ref="AB1612:AD1612"/>
    <mergeCell ref="AE1612:AG1612"/>
    <mergeCell ref="C1613:L1613"/>
    <mergeCell ref="M1613:O1613"/>
    <mergeCell ref="P1613:R1613"/>
    <mergeCell ref="S1613:U1613"/>
    <mergeCell ref="V1613:X1613"/>
    <mergeCell ref="Y1613:AA1613"/>
    <mergeCell ref="AB1613:AD1613"/>
    <mergeCell ref="AE1613:AG1613"/>
    <mergeCell ref="C1614:L1614"/>
    <mergeCell ref="M1614:O1614"/>
    <mergeCell ref="P1614:R1614"/>
    <mergeCell ref="S1614:U1614"/>
    <mergeCell ref="V1614:X1614"/>
    <mergeCell ref="Y1614:AA1614"/>
    <mergeCell ref="AB1614:AD1614"/>
    <mergeCell ref="AE1614:AG1614"/>
    <mergeCell ref="C1615:L1615"/>
    <mergeCell ref="M1615:O1615"/>
    <mergeCell ref="P1615:R1615"/>
    <mergeCell ref="S1615:U1615"/>
    <mergeCell ref="V1615:X1615"/>
    <mergeCell ref="Y1615:AA1615"/>
    <mergeCell ref="AB1615:AD1615"/>
    <mergeCell ref="AE1615:AG1615"/>
    <mergeCell ref="C1616:L1616"/>
    <mergeCell ref="M1616:O1616"/>
    <mergeCell ref="P1616:R1616"/>
    <mergeCell ref="S1616:U1616"/>
    <mergeCell ref="V1616:X1616"/>
    <mergeCell ref="Y1616:AA1616"/>
    <mergeCell ref="AB1616:AD1616"/>
    <mergeCell ref="AE1616:AG1616"/>
    <mergeCell ref="C1617:L1617"/>
    <mergeCell ref="M1617:O1617"/>
    <mergeCell ref="P1617:R1617"/>
    <mergeCell ref="S1617:U1617"/>
    <mergeCell ref="V1617:X1617"/>
    <mergeCell ref="Y1617:AA1617"/>
    <mergeCell ref="AB1617:AD1617"/>
    <mergeCell ref="AE1617:AG1617"/>
    <mergeCell ref="C1618:L1618"/>
    <mergeCell ref="M1618:O1618"/>
    <mergeCell ref="P1618:R1618"/>
    <mergeCell ref="S1618:U1618"/>
    <mergeCell ref="V1618:X1618"/>
    <mergeCell ref="Y1618:AA1618"/>
    <mergeCell ref="AB1618:AD1618"/>
    <mergeCell ref="AE1618:AG1618"/>
    <mergeCell ref="C1619:L1619"/>
    <mergeCell ref="M1619:O1619"/>
    <mergeCell ref="P1619:R1619"/>
    <mergeCell ref="S1619:U1619"/>
    <mergeCell ref="V1619:X1619"/>
    <mergeCell ref="Y1619:AA1619"/>
    <mergeCell ref="AB1619:AD1619"/>
    <mergeCell ref="AE1619:AG1619"/>
    <mergeCell ref="C1634:R1634"/>
    <mergeCell ref="S1634:X1634"/>
    <mergeCell ref="AC1629:AG1629"/>
    <mergeCell ref="AC1630:AF1630"/>
    <mergeCell ref="C1665:R1665"/>
    <mergeCell ref="S1665:X1665"/>
    <mergeCell ref="C1620:L1620"/>
    <mergeCell ref="M1620:O1620"/>
    <mergeCell ref="P1620:R1620"/>
    <mergeCell ref="S1620:U1620"/>
    <mergeCell ref="V1620:X1620"/>
    <mergeCell ref="Y1620:AA1620"/>
    <mergeCell ref="AB1620:AD1620"/>
    <mergeCell ref="AE1620:AG1620"/>
    <mergeCell ref="C1621:L1621"/>
    <mergeCell ref="M1621:O1621"/>
    <mergeCell ref="P1621:R1621"/>
    <mergeCell ref="S1621:U1621"/>
    <mergeCell ref="V1621:X1621"/>
    <mergeCell ref="Y1621:AA1621"/>
    <mergeCell ref="AB1621:AD1621"/>
    <mergeCell ref="AE1621:AG1621"/>
    <mergeCell ref="C1626:R1626"/>
    <mergeCell ref="S1626:X1626"/>
    <mergeCell ref="C1666:R1666"/>
    <mergeCell ref="S1666:X1666"/>
    <mergeCell ref="C1667:R1667"/>
    <mergeCell ref="S1667:X1667"/>
    <mergeCell ref="C1624:Y1624"/>
    <mergeCell ref="C1677:Y1677"/>
    <mergeCell ref="C1681:D1681"/>
    <mergeCell ref="E1681:N1681"/>
    <mergeCell ref="O1681:Y1681"/>
    <mergeCell ref="C1682:D1682"/>
    <mergeCell ref="E1682:N1682"/>
    <mergeCell ref="O1682:Y1682"/>
    <mergeCell ref="C1683:D1683"/>
    <mergeCell ref="E1683:N1683"/>
    <mergeCell ref="O1683:Y1683"/>
    <mergeCell ref="C1684:D1684"/>
    <mergeCell ref="E1684:N1684"/>
    <mergeCell ref="O1684:Y1684"/>
    <mergeCell ref="C1627:R1627"/>
    <mergeCell ref="S1627:X1627"/>
    <mergeCell ref="C1628:R1628"/>
    <mergeCell ref="S1628:X1628"/>
    <mergeCell ref="C1629:R1629"/>
    <mergeCell ref="S1629:X1629"/>
    <mergeCell ref="C1630:R1630"/>
    <mergeCell ref="S1630:X1630"/>
    <mergeCell ref="C1631:R1631"/>
    <mergeCell ref="S1631:X1631"/>
    <mergeCell ref="C1632:R1632"/>
    <mergeCell ref="S1632:X1632"/>
    <mergeCell ref="C1633:R1633"/>
    <mergeCell ref="S1633:X1633"/>
    <mergeCell ref="C1685:D1685"/>
    <mergeCell ref="E1685:N1685"/>
    <mergeCell ref="O1685:Y1685"/>
    <mergeCell ref="C1686:D1686"/>
    <mergeCell ref="E1686:N1686"/>
    <mergeCell ref="O1686:Y1686"/>
    <mergeCell ref="C1687:D1687"/>
    <mergeCell ref="E1687:N1687"/>
    <mergeCell ref="O1687:Y1687"/>
    <mergeCell ref="C1688:D1688"/>
    <mergeCell ref="E1688:N1688"/>
    <mergeCell ref="O1688:Y1688"/>
    <mergeCell ref="C1689:D1689"/>
    <mergeCell ref="E1689:N1689"/>
    <mergeCell ref="O1689:Y1689"/>
    <mergeCell ref="C1690:D1690"/>
    <mergeCell ref="E1690:N1690"/>
    <mergeCell ref="O1690:Y1690"/>
    <mergeCell ref="C1691:D1691"/>
    <mergeCell ref="E1691:N1691"/>
    <mergeCell ref="O1691:Y1691"/>
    <mergeCell ref="C1692:D1692"/>
    <mergeCell ref="E1692:N1692"/>
    <mergeCell ref="O1692:Y1692"/>
    <mergeCell ref="C1693:D1693"/>
    <mergeCell ref="E1693:N1693"/>
    <mergeCell ref="O1693:Y1693"/>
    <mergeCell ref="U1697:Y1697"/>
    <mergeCell ref="P1697:T1697"/>
    <mergeCell ref="M1697:O1697"/>
    <mergeCell ref="E1697:L1697"/>
    <mergeCell ref="C1697:D1697"/>
    <mergeCell ref="C1698:D1698"/>
    <mergeCell ref="E1698:L1698"/>
    <mergeCell ref="M1698:O1698"/>
    <mergeCell ref="P1698:T1698"/>
    <mergeCell ref="U1698:Y1698"/>
    <mergeCell ref="C1719:D1719"/>
    <mergeCell ref="E1719:L1719"/>
    <mergeCell ref="M1719:O1719"/>
    <mergeCell ref="P1719:T1719"/>
    <mergeCell ref="U1719:Y1719"/>
    <mergeCell ref="E1720:L1720"/>
    <mergeCell ref="M1720:O1720"/>
    <mergeCell ref="P1720:T1720"/>
    <mergeCell ref="C1755:D1755"/>
    <mergeCell ref="E1755:L1755"/>
    <mergeCell ref="M1755:P1755"/>
    <mergeCell ref="Q1755:Y1755"/>
    <mergeCell ref="C1720:D1720"/>
    <mergeCell ref="U1720:Y1720"/>
    <mergeCell ref="C1716:D1716"/>
    <mergeCell ref="E1716:L1716"/>
    <mergeCell ref="M1716:O1716"/>
    <mergeCell ref="P1716:T1716"/>
    <mergeCell ref="U1716:Y1716"/>
    <mergeCell ref="C1717:D1717"/>
    <mergeCell ref="E1717:L1717"/>
    <mergeCell ref="M1717:O1717"/>
    <mergeCell ref="P1717:T1717"/>
    <mergeCell ref="U1717:Y1717"/>
    <mergeCell ref="C1718:D1718"/>
    <mergeCell ref="E1718:L1718"/>
    <mergeCell ref="M1718:O1718"/>
    <mergeCell ref="P1718:T1718"/>
    <mergeCell ref="U1718:Y1718"/>
    <mergeCell ref="C1721:D1721"/>
    <mergeCell ref="E1721:L1721"/>
    <mergeCell ref="M1721:O1721"/>
    <mergeCell ref="Q1772:Y1772"/>
    <mergeCell ref="C1802:D1802"/>
    <mergeCell ref="Q1802:Y1802"/>
    <mergeCell ref="N1802:P1802"/>
    <mergeCell ref="K1802:M1802"/>
    <mergeCell ref="E1802:J1802"/>
    <mergeCell ref="M1776:P1776"/>
    <mergeCell ref="Q1776:Y1776"/>
    <mergeCell ref="C1777:D1777"/>
    <mergeCell ref="E1777:L1777"/>
    <mergeCell ref="M1777:P1777"/>
    <mergeCell ref="Q1777:Y1777"/>
    <mergeCell ref="C1778:D1778"/>
    <mergeCell ref="E1778:L1778"/>
    <mergeCell ref="M1778:P1778"/>
    <mergeCell ref="Q1778:Y1778"/>
    <mergeCell ref="C1779:D1779"/>
    <mergeCell ref="E1779:L1779"/>
    <mergeCell ref="M1779:P1779"/>
    <mergeCell ref="Q1779:Y1779"/>
    <mergeCell ref="C1783:D1783"/>
    <mergeCell ref="E1783:L1783"/>
    <mergeCell ref="M1783:P1783"/>
    <mergeCell ref="Q1783:Y1783"/>
    <mergeCell ref="C1784:D1784"/>
    <mergeCell ref="E1784:L1784"/>
    <mergeCell ref="M1784:P1784"/>
    <mergeCell ref="Q1784:Y1784"/>
    <mergeCell ref="C1785:D1785"/>
    <mergeCell ref="E1785:L1785"/>
    <mergeCell ref="M1785:P1785"/>
    <mergeCell ref="Q1785:Y1785"/>
    <mergeCell ref="C1803:D1803"/>
    <mergeCell ref="E1803:J1803"/>
    <mergeCell ref="K1803:M1803"/>
    <mergeCell ref="N1803:P1803"/>
    <mergeCell ref="Q1803:Y1803"/>
    <mergeCell ref="Q1767:Y1767"/>
    <mergeCell ref="C1768:D1768"/>
    <mergeCell ref="E1768:L1768"/>
    <mergeCell ref="M1768:P1768"/>
    <mergeCell ref="Q1768:Y1768"/>
    <mergeCell ref="E1770:L1770"/>
    <mergeCell ref="M1770:P1770"/>
    <mergeCell ref="Q1770:Y1770"/>
    <mergeCell ref="C1804:D1804"/>
    <mergeCell ref="E1804:J1804"/>
    <mergeCell ref="K1804:M1804"/>
    <mergeCell ref="N1804:P1804"/>
    <mergeCell ref="Q1804:Y1804"/>
    <mergeCell ref="C1773:D1773"/>
    <mergeCell ref="E1773:L1773"/>
    <mergeCell ref="M1773:P1773"/>
    <mergeCell ref="Q1773:Y1773"/>
    <mergeCell ref="C1774:D1774"/>
    <mergeCell ref="E1774:L1774"/>
    <mergeCell ref="M1774:P1774"/>
    <mergeCell ref="Q1774:Y1774"/>
    <mergeCell ref="C1775:D1775"/>
    <mergeCell ref="E1775:L1775"/>
    <mergeCell ref="M1775:P1775"/>
    <mergeCell ref="Q1775:Y1775"/>
    <mergeCell ref="C1776:D1776"/>
    <mergeCell ref="E1776:L1776"/>
    <mergeCell ref="C1805:D1805"/>
    <mergeCell ref="E1805:J1805"/>
    <mergeCell ref="K1805:M1805"/>
    <mergeCell ref="N1805:P1805"/>
    <mergeCell ref="Q1805:Y1805"/>
    <mergeCell ref="C1806:D1806"/>
    <mergeCell ref="E1806:J1806"/>
    <mergeCell ref="K1806:M1806"/>
    <mergeCell ref="N1806:P1806"/>
    <mergeCell ref="Q1806:Y1806"/>
    <mergeCell ref="C1807:D1807"/>
    <mergeCell ref="E1807:J1807"/>
    <mergeCell ref="K1807:M1807"/>
    <mergeCell ref="N1807:P1807"/>
    <mergeCell ref="Q1807:Y1807"/>
    <mergeCell ref="C1810:D1810"/>
    <mergeCell ref="E1810:J1810"/>
    <mergeCell ref="K1810:M1810"/>
    <mergeCell ref="N1810:P1810"/>
    <mergeCell ref="Q1810:Y1810"/>
    <mergeCell ref="C1811:D1811"/>
    <mergeCell ref="E1811:J1811"/>
    <mergeCell ref="K1811:M1811"/>
    <mergeCell ref="N1811:P1811"/>
    <mergeCell ref="Q1811:Y1811"/>
    <mergeCell ref="C1813:D1813"/>
    <mergeCell ref="E1813:J1813"/>
    <mergeCell ref="K1813:M1813"/>
    <mergeCell ref="N1813:P1813"/>
    <mergeCell ref="Q1813:Y1813"/>
    <mergeCell ref="C1814:D1814"/>
    <mergeCell ref="E1814:J1814"/>
    <mergeCell ref="K1814:M1814"/>
    <mergeCell ref="N1814:P1814"/>
    <mergeCell ref="Q1814:Y1814"/>
    <mergeCell ref="Q1829:Y1829"/>
    <mergeCell ref="C1815:D1815"/>
    <mergeCell ref="E1815:J1815"/>
    <mergeCell ref="K1815:M1815"/>
    <mergeCell ref="N1815:P1815"/>
    <mergeCell ref="Q1815:Y1815"/>
    <mergeCell ref="C1816:D1816"/>
    <mergeCell ref="E1816:J1816"/>
    <mergeCell ref="K1816:M1816"/>
    <mergeCell ref="N1816:P1816"/>
    <mergeCell ref="Q1816:Y1816"/>
    <mergeCell ref="C1817:D1817"/>
    <mergeCell ref="E1817:J1817"/>
    <mergeCell ref="K1817:M1817"/>
    <mergeCell ref="N1817:P1817"/>
    <mergeCell ref="Q1817:Y1817"/>
    <mergeCell ref="C1825:D1825"/>
    <mergeCell ref="E1825:J1825"/>
    <mergeCell ref="K1825:M1825"/>
    <mergeCell ref="N1825:P1825"/>
    <mergeCell ref="Q1825:Y1825"/>
    <mergeCell ref="K1833:P1833"/>
    <mergeCell ref="K1834:P1834"/>
    <mergeCell ref="C1835:D1835"/>
    <mergeCell ref="E1835:J1835"/>
    <mergeCell ref="K1835:P1835"/>
    <mergeCell ref="Q1835:Y1835"/>
    <mergeCell ref="C1838:D1838"/>
    <mergeCell ref="E1838:J1838"/>
    <mergeCell ref="K1838:P1838"/>
    <mergeCell ref="Q1838:Y1838"/>
    <mergeCell ref="C1833:D1833"/>
    <mergeCell ref="E1833:J1833"/>
    <mergeCell ref="Q1833:Y1833"/>
    <mergeCell ref="C1826:D1826"/>
    <mergeCell ref="E1826:J1826"/>
    <mergeCell ref="K1826:M1826"/>
    <mergeCell ref="N1826:P1826"/>
    <mergeCell ref="Q1826:Y1826"/>
    <mergeCell ref="C1827:D1827"/>
    <mergeCell ref="E1827:J1827"/>
    <mergeCell ref="K1827:M1827"/>
    <mergeCell ref="N1827:P1827"/>
    <mergeCell ref="Q1827:Y1827"/>
    <mergeCell ref="C1828:D1828"/>
    <mergeCell ref="E1828:J1828"/>
    <mergeCell ref="K1828:M1828"/>
    <mergeCell ref="N1828:P1828"/>
    <mergeCell ref="Q1828:Y1828"/>
    <mergeCell ref="C1829:D1829"/>
    <mergeCell ref="E1829:J1829"/>
    <mergeCell ref="K1829:M1829"/>
    <mergeCell ref="N1829:P1829"/>
    <mergeCell ref="C1842:D1842"/>
    <mergeCell ref="E1842:J1842"/>
    <mergeCell ref="K1842:M1842"/>
    <mergeCell ref="N1842:P1842"/>
    <mergeCell ref="Q1842:Y1842"/>
    <mergeCell ref="C1843:D1843"/>
    <mergeCell ref="E1843:J1843"/>
    <mergeCell ref="K1843:M1843"/>
    <mergeCell ref="N1843:P1843"/>
    <mergeCell ref="Q1843:Y1843"/>
    <mergeCell ref="C1844:D1844"/>
    <mergeCell ref="E1844:J1844"/>
    <mergeCell ref="K1844:M1844"/>
    <mergeCell ref="N1844:P1844"/>
    <mergeCell ref="Q1844:Y1844"/>
    <mergeCell ref="C1834:D1834"/>
    <mergeCell ref="E1834:J1834"/>
    <mergeCell ref="Q1834:Y1834"/>
    <mergeCell ref="C1845:D1845"/>
    <mergeCell ref="E1845:J1845"/>
    <mergeCell ref="K1845:M1845"/>
    <mergeCell ref="N1845:P1845"/>
    <mergeCell ref="Q1845:Y1845"/>
    <mergeCell ref="C1846:D1846"/>
    <mergeCell ref="E1846:J1846"/>
    <mergeCell ref="K1846:M1846"/>
    <mergeCell ref="N1846:P1846"/>
    <mergeCell ref="Q1846:Y1846"/>
    <mergeCell ref="C1849:D1849"/>
    <mergeCell ref="E1849:L1849"/>
    <mergeCell ref="M1849:P1849"/>
    <mergeCell ref="Q1849:Y1849"/>
    <mergeCell ref="C1850:D1850"/>
    <mergeCell ref="E1850:L1850"/>
    <mergeCell ref="M1850:P1850"/>
    <mergeCell ref="Q1850:Y1850"/>
    <mergeCell ref="M1856:P1856"/>
    <mergeCell ref="U1855:Y1855"/>
    <mergeCell ref="Q1855:T1855"/>
    <mergeCell ref="M1855:P1855"/>
    <mergeCell ref="J1855:L1855"/>
    <mergeCell ref="D1855:I1855"/>
    <mergeCell ref="D1856:I1856"/>
    <mergeCell ref="J1856:L1856"/>
    <mergeCell ref="Q1856:T1856"/>
    <mergeCell ref="U1856:Y1856"/>
    <mergeCell ref="D1857:I1857"/>
    <mergeCell ref="J1857:L1857"/>
    <mergeCell ref="M1857:P1857"/>
    <mergeCell ref="Q1857:T1857"/>
    <mergeCell ref="U1857:Y1857"/>
    <mergeCell ref="C1851:D1851"/>
    <mergeCell ref="E1851:L1851"/>
    <mergeCell ref="M1851:P1851"/>
    <mergeCell ref="Q1851:Y1851"/>
    <mergeCell ref="D1858:I1858"/>
    <mergeCell ref="J1858:L1858"/>
    <mergeCell ref="M1858:P1858"/>
    <mergeCell ref="Q1858:T1858"/>
    <mergeCell ref="U1858:Y1858"/>
    <mergeCell ref="D1859:I1859"/>
    <mergeCell ref="J1859:L1859"/>
    <mergeCell ref="M1859:P1859"/>
    <mergeCell ref="Q1859:T1859"/>
    <mergeCell ref="U1859:Y1859"/>
    <mergeCell ref="D1860:I1860"/>
    <mergeCell ref="J1860:L1860"/>
    <mergeCell ref="M1860:P1860"/>
    <mergeCell ref="Q1860:T1860"/>
    <mergeCell ref="U1860:Y1860"/>
    <mergeCell ref="U1864:Y1864"/>
    <mergeCell ref="R1864:T1864"/>
    <mergeCell ref="O1864:Q1864"/>
    <mergeCell ref="L1864:N1864"/>
    <mergeCell ref="I1864:K1864"/>
    <mergeCell ref="D1864:H1864"/>
    <mergeCell ref="D1865:H1865"/>
    <mergeCell ref="I1865:K1865"/>
    <mergeCell ref="L1865:N1865"/>
    <mergeCell ref="O1865:Q1865"/>
    <mergeCell ref="R1865:T1865"/>
    <mergeCell ref="U1865:Y1865"/>
    <mergeCell ref="D1866:H1866"/>
    <mergeCell ref="I1866:K1866"/>
    <mergeCell ref="L1866:N1866"/>
    <mergeCell ref="O1866:Q1866"/>
    <mergeCell ref="R1866:T1866"/>
    <mergeCell ref="U1866:Y1866"/>
    <mergeCell ref="D1867:H1867"/>
    <mergeCell ref="I1867:K1867"/>
    <mergeCell ref="L1867:N1867"/>
    <mergeCell ref="O1867:Q1867"/>
    <mergeCell ref="R1867:T1867"/>
    <mergeCell ref="U1867:Y1867"/>
    <mergeCell ref="D1868:H1868"/>
    <mergeCell ref="I1868:K1868"/>
    <mergeCell ref="L1868:N1868"/>
    <mergeCell ref="O1868:Q1868"/>
    <mergeCell ref="R1868:T1868"/>
    <mergeCell ref="U1868:Y1868"/>
    <mergeCell ref="D1869:H1869"/>
    <mergeCell ref="I1869:K1869"/>
    <mergeCell ref="L1869:N1869"/>
    <mergeCell ref="O1869:Q1869"/>
    <mergeCell ref="R1869:T1869"/>
    <mergeCell ref="U1869:Y1869"/>
    <mergeCell ref="C1873:D1873"/>
    <mergeCell ref="E1873:J1873"/>
    <mergeCell ref="K1873:M1873"/>
    <mergeCell ref="N1873:P1873"/>
    <mergeCell ref="Q1873:Y1873"/>
    <mergeCell ref="C1874:D1874"/>
    <mergeCell ref="E1874:J1874"/>
    <mergeCell ref="K1874:M1874"/>
    <mergeCell ref="N1874:P1874"/>
    <mergeCell ref="Q1874:Y1874"/>
    <mergeCell ref="C1875:D1875"/>
    <mergeCell ref="E1875:J1875"/>
    <mergeCell ref="K1875:M1875"/>
    <mergeCell ref="N1875:P1875"/>
    <mergeCell ref="Q1875:Y1875"/>
    <mergeCell ref="C1876:D1876"/>
    <mergeCell ref="E1876:J1876"/>
    <mergeCell ref="K1876:M1876"/>
    <mergeCell ref="N1876:P1876"/>
    <mergeCell ref="Q1876:Y1876"/>
    <mergeCell ref="C1877:D1877"/>
    <mergeCell ref="E1877:J1877"/>
    <mergeCell ref="K1877:M1877"/>
    <mergeCell ref="N1877:P1877"/>
    <mergeCell ref="Q1877:Y1877"/>
    <mergeCell ref="C1881:D1881"/>
    <mergeCell ref="E1881:L1881"/>
    <mergeCell ref="M1881:P1881"/>
    <mergeCell ref="Q1881:Y1881"/>
    <mergeCell ref="C1882:D1882"/>
    <mergeCell ref="E1882:L1882"/>
    <mergeCell ref="M1882:P1882"/>
    <mergeCell ref="Q1882:Y1882"/>
    <mergeCell ref="C1883:D1883"/>
    <mergeCell ref="E1883:L1883"/>
    <mergeCell ref="M1883:P1883"/>
    <mergeCell ref="Q1883:Y1883"/>
    <mergeCell ref="C1884:D1884"/>
    <mergeCell ref="E1884:L1884"/>
    <mergeCell ref="M1884:P1884"/>
    <mergeCell ref="Q1884:Y1884"/>
    <mergeCell ref="C1891:Y1891"/>
    <mergeCell ref="C1885:D1885"/>
    <mergeCell ref="E1885:L1885"/>
    <mergeCell ref="M1885:P1885"/>
    <mergeCell ref="Q1885:Y1885"/>
    <mergeCell ref="C1886:D1886"/>
    <mergeCell ref="E1886:L1886"/>
    <mergeCell ref="M1886:P1886"/>
    <mergeCell ref="Q1886:Y1886"/>
    <mergeCell ref="C1890:D1890"/>
    <mergeCell ref="E1890:L1890"/>
    <mergeCell ref="M1890:P1890"/>
    <mergeCell ref="Q1890:Y1890"/>
    <mergeCell ref="C1888:D1888"/>
    <mergeCell ref="E1888:L1888"/>
    <mergeCell ref="M1888:P1888"/>
    <mergeCell ref="C1892:Y1892"/>
    <mergeCell ref="C1893:Y1893"/>
    <mergeCell ref="C1894:Y1894"/>
    <mergeCell ref="C1895:Y1895"/>
    <mergeCell ref="C1896:Y1896"/>
    <mergeCell ref="C1904:Y1904"/>
    <mergeCell ref="W1910:Y1910"/>
    <mergeCell ref="T1910:V1910"/>
    <mergeCell ref="T1911:V1911"/>
    <mergeCell ref="W1911:Y1911"/>
    <mergeCell ref="C1910:S1910"/>
    <mergeCell ref="C1911:S1911"/>
    <mergeCell ref="C1897:R1897"/>
    <mergeCell ref="S1897:X1897"/>
    <mergeCell ref="C1898:R1898"/>
    <mergeCell ref="S1898:X1898"/>
    <mergeCell ref="C1899:R1899"/>
    <mergeCell ref="S1899:X1899"/>
    <mergeCell ref="C1900:R1900"/>
    <mergeCell ref="S1900:X1900"/>
    <mergeCell ref="C1901:R1901"/>
    <mergeCell ref="S1901:X1901"/>
    <mergeCell ref="C1902:R1902"/>
    <mergeCell ref="S1902:X1902"/>
    <mergeCell ref="C1903:R1903"/>
    <mergeCell ref="C1908:Y1908"/>
    <mergeCell ref="C1909:Y1909"/>
    <mergeCell ref="S1903:X1903"/>
    <mergeCell ref="C1923:S1923"/>
    <mergeCell ref="T1912:V1912"/>
    <mergeCell ref="W1912:Y1912"/>
    <mergeCell ref="T1913:V1913"/>
    <mergeCell ref="W1913:Y1913"/>
    <mergeCell ref="T1914:V1914"/>
    <mergeCell ref="W1914:Y1914"/>
    <mergeCell ref="T1915:V1915"/>
    <mergeCell ref="W1915:Y1915"/>
    <mergeCell ref="T1916:V1916"/>
    <mergeCell ref="W1916:Y1916"/>
    <mergeCell ref="T1917:V1917"/>
    <mergeCell ref="W1917:Y1917"/>
    <mergeCell ref="C1912:S1912"/>
    <mergeCell ref="C1913:S1913"/>
    <mergeCell ref="C1914:S1914"/>
    <mergeCell ref="C1915:S1915"/>
    <mergeCell ref="C1916:S1916"/>
    <mergeCell ref="C1917:S1917"/>
    <mergeCell ref="T1924:V1924"/>
    <mergeCell ref="W1924:Y1924"/>
    <mergeCell ref="T1925:V1925"/>
    <mergeCell ref="W1925:Y1925"/>
    <mergeCell ref="T1926:V1926"/>
    <mergeCell ref="W1926:Y1926"/>
    <mergeCell ref="T1927:V1927"/>
    <mergeCell ref="W1927:Y1927"/>
    <mergeCell ref="T1928:V1928"/>
    <mergeCell ref="W1928:Y1928"/>
    <mergeCell ref="C1924:S1924"/>
    <mergeCell ref="C1925:S1925"/>
    <mergeCell ref="C1926:S1926"/>
    <mergeCell ref="C1927:S1927"/>
    <mergeCell ref="C1928:S1928"/>
    <mergeCell ref="T1918:V1918"/>
    <mergeCell ref="W1918:Y1918"/>
    <mergeCell ref="T1919:V1919"/>
    <mergeCell ref="W1919:Y1919"/>
    <mergeCell ref="T1920:V1920"/>
    <mergeCell ref="W1920:Y1920"/>
    <mergeCell ref="T1921:V1921"/>
    <mergeCell ref="W1921:Y1921"/>
    <mergeCell ref="T1922:V1922"/>
    <mergeCell ref="W1922:Y1922"/>
    <mergeCell ref="T1923:V1923"/>
    <mergeCell ref="W1923:Y1923"/>
    <mergeCell ref="C1918:S1918"/>
    <mergeCell ref="C1919:S1919"/>
    <mergeCell ref="C1920:S1920"/>
    <mergeCell ref="C1921:S1921"/>
    <mergeCell ref="C1922:S1922"/>
    <mergeCell ref="T1929:V1929"/>
    <mergeCell ref="W1929:Y1929"/>
    <mergeCell ref="T1930:V1930"/>
    <mergeCell ref="W1930:Y1930"/>
    <mergeCell ref="T1931:V1931"/>
    <mergeCell ref="W1931:Y1931"/>
    <mergeCell ref="T1932:V1932"/>
    <mergeCell ref="W1932:Y1932"/>
    <mergeCell ref="T1933:V1933"/>
    <mergeCell ref="W1933:Y1933"/>
    <mergeCell ref="C1929:S1929"/>
    <mergeCell ref="C1930:S1930"/>
    <mergeCell ref="C1931:S1931"/>
    <mergeCell ref="C1932:S1932"/>
    <mergeCell ref="C1933:S1933"/>
    <mergeCell ref="C1934:S1934"/>
    <mergeCell ref="T1934:V1934"/>
    <mergeCell ref="W1934:Y1934"/>
    <mergeCell ref="C1941:Y1941"/>
    <mergeCell ref="C1942:Y1942"/>
    <mergeCell ref="C1937:Y1937"/>
    <mergeCell ref="C1945:S1945"/>
    <mergeCell ref="T1945:V1945"/>
    <mergeCell ref="W1945:Y1945"/>
    <mergeCell ref="C1946:S1946"/>
    <mergeCell ref="T1946:V1946"/>
    <mergeCell ref="W1946:Y1946"/>
    <mergeCell ref="C1947:S1947"/>
    <mergeCell ref="T1947:V1947"/>
    <mergeCell ref="W1947:Y1947"/>
    <mergeCell ref="C1948:S1948"/>
    <mergeCell ref="T1948:V1948"/>
    <mergeCell ref="W1948:Y1948"/>
    <mergeCell ref="C1949:S1949"/>
    <mergeCell ref="T1949:V1949"/>
    <mergeCell ref="W1949:Y1949"/>
    <mergeCell ref="C1943:Y1943"/>
    <mergeCell ref="C1956:S1956"/>
    <mergeCell ref="T1956:V1956"/>
    <mergeCell ref="W1956:Y1956"/>
    <mergeCell ref="C1957:S1957"/>
    <mergeCell ref="T1957:V1957"/>
    <mergeCell ref="W1957:Y1957"/>
    <mergeCell ref="C1961:S1961"/>
    <mergeCell ref="T1961:V1961"/>
    <mergeCell ref="W1961:Y1961"/>
    <mergeCell ref="C1950:S1950"/>
    <mergeCell ref="T1950:V1950"/>
    <mergeCell ref="W1950:Y1950"/>
    <mergeCell ref="C1951:S1951"/>
    <mergeCell ref="T1951:V1951"/>
    <mergeCell ref="W1951:Y1951"/>
    <mergeCell ref="C1952:S1952"/>
    <mergeCell ref="T1952:V1952"/>
    <mergeCell ref="W1952:Y1952"/>
    <mergeCell ref="C1953:S1953"/>
    <mergeCell ref="T1953:V1953"/>
    <mergeCell ref="W1953:Y1953"/>
    <mergeCell ref="C1954:S1954"/>
    <mergeCell ref="T1954:V1954"/>
    <mergeCell ref="W1954:Y1954"/>
    <mergeCell ref="C1955:S1955"/>
    <mergeCell ref="T1955:V1955"/>
    <mergeCell ref="W1955:Y1955"/>
    <mergeCell ref="C1969:S1969"/>
    <mergeCell ref="T1969:V1969"/>
    <mergeCell ref="W1969:Y1969"/>
    <mergeCell ref="C1970:S1970"/>
    <mergeCell ref="T1970:V1970"/>
    <mergeCell ref="W1970:Y1970"/>
    <mergeCell ref="C1971:S1971"/>
    <mergeCell ref="T1971:V1971"/>
    <mergeCell ref="W1971:Y1971"/>
    <mergeCell ref="T1979:V1979"/>
    <mergeCell ref="W1979:Y1979"/>
    <mergeCell ref="T1981:V1981"/>
    <mergeCell ref="W1981:Y1981"/>
    <mergeCell ref="C1963:S1963"/>
    <mergeCell ref="T1963:V1963"/>
    <mergeCell ref="W1963:Y1963"/>
    <mergeCell ref="C1964:S1964"/>
    <mergeCell ref="T1964:V1964"/>
    <mergeCell ref="W1964:Y1964"/>
    <mergeCell ref="C1965:S1965"/>
    <mergeCell ref="T1965:V1965"/>
    <mergeCell ref="W1965:Y1965"/>
    <mergeCell ref="C1966:S1966"/>
    <mergeCell ref="T1966:V1966"/>
    <mergeCell ref="W1966:Y1966"/>
    <mergeCell ref="C1967:S1967"/>
    <mergeCell ref="T1967:V1967"/>
    <mergeCell ref="W1967:Y1967"/>
    <mergeCell ref="C1968:S1968"/>
    <mergeCell ref="T1968:V1968"/>
    <mergeCell ref="W1968:Y1968"/>
    <mergeCell ref="B1979:S1979"/>
    <mergeCell ref="B1981:S1981"/>
    <mergeCell ref="B1980:Y1980"/>
    <mergeCell ref="B1983:Y1983"/>
    <mergeCell ref="C1982:S1982"/>
    <mergeCell ref="T1982:V1982"/>
    <mergeCell ref="W1982:Y1982"/>
    <mergeCell ref="C1984:S1984"/>
    <mergeCell ref="T1984:V1984"/>
    <mergeCell ref="W1984:Y1984"/>
    <mergeCell ref="C1985:S1985"/>
    <mergeCell ref="T1985:V1985"/>
    <mergeCell ref="W1985:Y1985"/>
    <mergeCell ref="C1986:S1986"/>
    <mergeCell ref="T1986:V1986"/>
    <mergeCell ref="W1986:Y1986"/>
    <mergeCell ref="C1987:S1987"/>
    <mergeCell ref="T1987:V1987"/>
    <mergeCell ref="W1987:Y1987"/>
    <mergeCell ref="T1994:V1994"/>
    <mergeCell ref="W1994:Y1994"/>
    <mergeCell ref="C1995:S1995"/>
    <mergeCell ref="T1995:V1995"/>
    <mergeCell ref="W1995:Y1995"/>
    <mergeCell ref="C1996:S1996"/>
    <mergeCell ref="T1996:V1996"/>
    <mergeCell ref="W1996:Y1996"/>
    <mergeCell ref="C1997:S1997"/>
    <mergeCell ref="T1997:V1997"/>
    <mergeCell ref="W1997:Y1997"/>
    <mergeCell ref="C1988:S1988"/>
    <mergeCell ref="T1988:V1988"/>
    <mergeCell ref="W1988:Y1988"/>
    <mergeCell ref="C1989:S1989"/>
    <mergeCell ref="T1989:V1989"/>
    <mergeCell ref="W1989:Y1989"/>
    <mergeCell ref="C1990:S1990"/>
    <mergeCell ref="T1990:V1990"/>
    <mergeCell ref="W1990:Y1990"/>
    <mergeCell ref="C1991:S1991"/>
    <mergeCell ref="T1991:V1991"/>
    <mergeCell ref="W1991:Y1991"/>
    <mergeCell ref="J2017:L2017"/>
    <mergeCell ref="M2017:O2017"/>
    <mergeCell ref="P2017:R2017"/>
    <mergeCell ref="B1962:Y1962"/>
    <mergeCell ref="B2003:Y2003"/>
    <mergeCell ref="B2002:S2002"/>
    <mergeCell ref="B2005:Y2005"/>
    <mergeCell ref="B2006:Y2006"/>
    <mergeCell ref="B2007:Y2007"/>
    <mergeCell ref="B2008:Y2008"/>
    <mergeCell ref="B2012:Y2012"/>
    <mergeCell ref="B2009:Y2009"/>
    <mergeCell ref="B2015:AM2015"/>
    <mergeCell ref="C1999:S1999"/>
    <mergeCell ref="T1999:V1999"/>
    <mergeCell ref="W1999:Y1999"/>
    <mergeCell ref="C2000:S2000"/>
    <mergeCell ref="T2000:V2000"/>
    <mergeCell ref="W2000:Y2000"/>
    <mergeCell ref="C2001:S2001"/>
    <mergeCell ref="T2001:V2001"/>
    <mergeCell ref="W2001:Y2001"/>
    <mergeCell ref="T2002:V2002"/>
    <mergeCell ref="W2002:Y2002"/>
    <mergeCell ref="B1998:Y1998"/>
    <mergeCell ref="C1992:S1992"/>
    <mergeCell ref="T1992:V1992"/>
    <mergeCell ref="W1992:Y1992"/>
    <mergeCell ref="C1993:S1993"/>
    <mergeCell ref="T1993:V1993"/>
    <mergeCell ref="W1993:Y1993"/>
    <mergeCell ref="C1994:S1994"/>
    <mergeCell ref="V2021:X2021"/>
    <mergeCell ref="Y2021:AA2021"/>
    <mergeCell ref="AB2021:AD2021"/>
    <mergeCell ref="AE2021:AG2021"/>
    <mergeCell ref="AH2021:AJ2021"/>
    <mergeCell ref="AK2021:AM2021"/>
    <mergeCell ref="B2018:C2018"/>
    <mergeCell ref="D2018:F2018"/>
    <mergeCell ref="G2018:I2018"/>
    <mergeCell ref="J2018:L2018"/>
    <mergeCell ref="M2018:O2018"/>
    <mergeCell ref="P2018:R2018"/>
    <mergeCell ref="S2018:U2018"/>
    <mergeCell ref="V2018:X2018"/>
    <mergeCell ref="Y2018:AA2018"/>
    <mergeCell ref="AB2018:AD2018"/>
    <mergeCell ref="AE2018:AG2018"/>
    <mergeCell ref="AH2018:AJ2018"/>
    <mergeCell ref="AK2018:AM2018"/>
    <mergeCell ref="AK2019:AM2019"/>
    <mergeCell ref="G2022:I2022"/>
    <mergeCell ref="J2022:L2022"/>
    <mergeCell ref="M2022:O2022"/>
    <mergeCell ref="P2022:R2022"/>
    <mergeCell ref="S2022:U2022"/>
    <mergeCell ref="V2022:X2022"/>
    <mergeCell ref="Y2022:AA2022"/>
    <mergeCell ref="AB2022:AD2022"/>
    <mergeCell ref="AE2022:AG2022"/>
    <mergeCell ref="AH2022:AJ2022"/>
    <mergeCell ref="AK2022:AM2022"/>
    <mergeCell ref="AK2023:AM2023"/>
    <mergeCell ref="B2020:C2020"/>
    <mergeCell ref="D2020:F2020"/>
    <mergeCell ref="G2020:I2020"/>
    <mergeCell ref="J2020:L2020"/>
    <mergeCell ref="M2020:O2020"/>
    <mergeCell ref="P2020:R2020"/>
    <mergeCell ref="S2020:U2020"/>
    <mergeCell ref="V2020:X2020"/>
    <mergeCell ref="Y2020:AA2020"/>
    <mergeCell ref="AB2020:AD2020"/>
    <mergeCell ref="AE2020:AG2020"/>
    <mergeCell ref="AH2020:AJ2020"/>
    <mergeCell ref="AK2020:AM2020"/>
    <mergeCell ref="B2021:C2021"/>
    <mergeCell ref="D2021:F2021"/>
    <mergeCell ref="G2021:I2021"/>
    <mergeCell ref="J2021:L2021"/>
    <mergeCell ref="M2021:O2021"/>
    <mergeCell ref="P2021:R2021"/>
    <mergeCell ref="S2021:U2021"/>
    <mergeCell ref="AB2027:AD2027"/>
    <mergeCell ref="AE2027:AG2027"/>
    <mergeCell ref="AH2027:AJ2027"/>
    <mergeCell ref="AK2027:AM2027"/>
    <mergeCell ref="B2024:C2024"/>
    <mergeCell ref="D2024:F2024"/>
    <mergeCell ref="G2024:I2024"/>
    <mergeCell ref="J2024:L2024"/>
    <mergeCell ref="M2024:O2024"/>
    <mergeCell ref="P2024:R2024"/>
    <mergeCell ref="S2024:U2024"/>
    <mergeCell ref="V2024:X2024"/>
    <mergeCell ref="Y2024:AA2024"/>
    <mergeCell ref="AB2024:AD2024"/>
    <mergeCell ref="AE2024:AG2024"/>
    <mergeCell ref="AH2024:AJ2024"/>
    <mergeCell ref="AK2024:AM2024"/>
    <mergeCell ref="B2025:C2025"/>
    <mergeCell ref="D2025:F2025"/>
    <mergeCell ref="G2025:I2025"/>
    <mergeCell ref="J2025:L2025"/>
    <mergeCell ref="M2025:O2025"/>
    <mergeCell ref="P2025:R2025"/>
    <mergeCell ref="S2025:U2025"/>
    <mergeCell ref="V2025:X2025"/>
    <mergeCell ref="Y2025:AA2025"/>
    <mergeCell ref="AB2025:AD2025"/>
    <mergeCell ref="AE2025:AG2025"/>
    <mergeCell ref="AH2025:AJ2025"/>
    <mergeCell ref="AK2025:AM2025"/>
    <mergeCell ref="AK2028:AM2028"/>
    <mergeCell ref="B2029:C2029"/>
    <mergeCell ref="D2029:F2029"/>
    <mergeCell ref="G2029:I2029"/>
    <mergeCell ref="J2029:L2029"/>
    <mergeCell ref="M2029:O2029"/>
    <mergeCell ref="P2029:R2029"/>
    <mergeCell ref="S2029:U2029"/>
    <mergeCell ref="V2029:X2029"/>
    <mergeCell ref="Y2029:AA2029"/>
    <mergeCell ref="AB2029:AD2029"/>
    <mergeCell ref="AE2029:AG2029"/>
    <mergeCell ref="AH2029:AJ2029"/>
    <mergeCell ref="AK2029:AM2029"/>
    <mergeCell ref="B2026:C2026"/>
    <mergeCell ref="D2026:F2026"/>
    <mergeCell ref="G2026:I2026"/>
    <mergeCell ref="J2026:L2026"/>
    <mergeCell ref="M2026:O2026"/>
    <mergeCell ref="P2026:R2026"/>
    <mergeCell ref="S2026:U2026"/>
    <mergeCell ref="V2026:X2026"/>
    <mergeCell ref="Y2026:AA2026"/>
    <mergeCell ref="AB2026:AD2026"/>
    <mergeCell ref="AE2026:AG2026"/>
    <mergeCell ref="AH2026:AJ2026"/>
    <mergeCell ref="AK2026:AM2026"/>
    <mergeCell ref="B2027:C2027"/>
    <mergeCell ref="D2027:F2027"/>
    <mergeCell ref="G2027:I2027"/>
    <mergeCell ref="J2027:L2027"/>
    <mergeCell ref="M2027:O2027"/>
    <mergeCell ref="AB2033:AD2033"/>
    <mergeCell ref="AE2033:AG2033"/>
    <mergeCell ref="AH2033:AJ2033"/>
    <mergeCell ref="AK2033:AM2033"/>
    <mergeCell ref="B2030:C2030"/>
    <mergeCell ref="D2030:F2030"/>
    <mergeCell ref="G2030:I2030"/>
    <mergeCell ref="J2030:L2030"/>
    <mergeCell ref="M2030:O2030"/>
    <mergeCell ref="P2030:R2030"/>
    <mergeCell ref="S2030:U2030"/>
    <mergeCell ref="V2030:X2030"/>
    <mergeCell ref="Y2030:AA2030"/>
    <mergeCell ref="AB2030:AD2030"/>
    <mergeCell ref="AE2030:AG2030"/>
    <mergeCell ref="AH2030:AJ2030"/>
    <mergeCell ref="AK2030:AM2030"/>
    <mergeCell ref="B2031:C2031"/>
    <mergeCell ref="D2031:F2031"/>
    <mergeCell ref="G2031:I2031"/>
    <mergeCell ref="J2031:L2031"/>
    <mergeCell ref="M2031:O2031"/>
    <mergeCell ref="P2031:R2031"/>
    <mergeCell ref="S2031:U2031"/>
    <mergeCell ref="V2031:X2031"/>
    <mergeCell ref="Y2031:AA2031"/>
    <mergeCell ref="AB2031:AD2031"/>
    <mergeCell ref="AE2031:AG2031"/>
    <mergeCell ref="AH2031:AJ2031"/>
    <mergeCell ref="AK2031:AM2031"/>
    <mergeCell ref="AB2034:AD2034"/>
    <mergeCell ref="AE2034:AG2034"/>
    <mergeCell ref="AH2034:AJ2034"/>
    <mergeCell ref="AK2034:AM2034"/>
    <mergeCell ref="B2016:C2017"/>
    <mergeCell ref="D2016:F2017"/>
    <mergeCell ref="G2016:I2017"/>
    <mergeCell ref="V2016:X2017"/>
    <mergeCell ref="Y2016:AA2017"/>
    <mergeCell ref="AB2016:AD2017"/>
    <mergeCell ref="AE2016:AG2017"/>
    <mergeCell ref="AH2016:AJ2017"/>
    <mergeCell ref="AK2016:AM2017"/>
    <mergeCell ref="J2016:R2016"/>
    <mergeCell ref="S2016:U2017"/>
    <mergeCell ref="B2019:AJ2019"/>
    <mergeCell ref="B2023:AJ2023"/>
    <mergeCell ref="B2028:AJ2028"/>
    <mergeCell ref="B2032:C2032"/>
    <mergeCell ref="D2032:F2032"/>
    <mergeCell ref="G2032:I2032"/>
    <mergeCell ref="J2032:L2032"/>
    <mergeCell ref="M2032:O2032"/>
    <mergeCell ref="P2032:R2032"/>
    <mergeCell ref="S2032:U2032"/>
    <mergeCell ref="V2032:X2032"/>
    <mergeCell ref="Y2032:AA2032"/>
    <mergeCell ref="AB2032:AD2032"/>
    <mergeCell ref="AE2032:AG2032"/>
    <mergeCell ref="AH2032:AJ2032"/>
    <mergeCell ref="AK2032:AM2032"/>
    <mergeCell ref="B2033:C2033"/>
    <mergeCell ref="E1410:L1410"/>
    <mergeCell ref="M1410:O1410"/>
    <mergeCell ref="P1410:T1410"/>
    <mergeCell ref="U1410:Y1410"/>
    <mergeCell ref="D584:Y584"/>
    <mergeCell ref="D900:Y900"/>
    <mergeCell ref="D933:Y933"/>
    <mergeCell ref="D962:Y962"/>
    <mergeCell ref="D993:Y993"/>
    <mergeCell ref="B2034:C2034"/>
    <mergeCell ref="D2034:F2034"/>
    <mergeCell ref="G2034:I2034"/>
    <mergeCell ref="J2034:L2034"/>
    <mergeCell ref="M2034:O2034"/>
    <mergeCell ref="P2034:R2034"/>
    <mergeCell ref="S2034:U2034"/>
    <mergeCell ref="V2034:X2034"/>
    <mergeCell ref="Y2034:AA2034"/>
    <mergeCell ref="D2033:F2033"/>
    <mergeCell ref="G2033:I2033"/>
    <mergeCell ref="J2033:L2033"/>
    <mergeCell ref="M2033:O2033"/>
    <mergeCell ref="P2033:R2033"/>
    <mergeCell ref="S2033:U2033"/>
    <mergeCell ref="V2033:X2033"/>
    <mergeCell ref="Y2033:AA2033"/>
    <mergeCell ref="P2027:R2027"/>
    <mergeCell ref="S2027:U2027"/>
    <mergeCell ref="V2027:X2027"/>
    <mergeCell ref="Y2027:AA2027"/>
    <mergeCell ref="B2022:C2022"/>
    <mergeCell ref="D2022:F2022"/>
    <mergeCell ref="E367:G367"/>
    <mergeCell ref="H367:J367"/>
    <mergeCell ref="K367:M367"/>
    <mergeCell ref="N367:P367"/>
    <mergeCell ref="Q367:S367"/>
    <mergeCell ref="T367:V367"/>
    <mergeCell ref="W367:Y367"/>
    <mergeCell ref="E364:G364"/>
    <mergeCell ref="H364:J364"/>
    <mergeCell ref="K364:M364"/>
    <mergeCell ref="N364:P364"/>
    <mergeCell ref="Q364:S364"/>
    <mergeCell ref="T364:V364"/>
    <mergeCell ref="W364:Y364"/>
    <mergeCell ref="E365:G365"/>
    <mergeCell ref="H365:J365"/>
    <mergeCell ref="K365:M365"/>
    <mergeCell ref="N365:P365"/>
    <mergeCell ref="Q365:S365"/>
    <mergeCell ref="T365:V365"/>
    <mergeCell ref="W365:Y365"/>
    <mergeCell ref="E366:G366"/>
    <mergeCell ref="H366:J366"/>
    <mergeCell ref="K366:M366"/>
    <mergeCell ref="N366:P366"/>
    <mergeCell ref="Q366:S366"/>
    <mergeCell ref="T366:V366"/>
    <mergeCell ref="W366:Y366"/>
    <mergeCell ref="AC867:AN867"/>
    <mergeCell ref="AC868:AE868"/>
    <mergeCell ref="AF868:AH868"/>
    <mergeCell ref="E894:M896"/>
    <mergeCell ref="O878:R878"/>
    <mergeCell ref="S878:U878"/>
    <mergeCell ref="V878:X878"/>
    <mergeCell ref="O879:R879"/>
    <mergeCell ref="S879:U879"/>
    <mergeCell ref="V879:X879"/>
    <mergeCell ref="O880:R880"/>
    <mergeCell ref="S880:U880"/>
    <mergeCell ref="V880:X880"/>
    <mergeCell ref="O881:R881"/>
    <mergeCell ref="S881:U881"/>
    <mergeCell ref="V881:X881"/>
    <mergeCell ref="O882:R882"/>
    <mergeCell ref="S882:U882"/>
    <mergeCell ref="V882:X882"/>
    <mergeCell ref="O883:R883"/>
    <mergeCell ref="S883:U883"/>
    <mergeCell ref="V883:X883"/>
    <mergeCell ref="O884:R884"/>
    <mergeCell ref="S884:U884"/>
    <mergeCell ref="V884:X884"/>
    <mergeCell ref="O885:R885"/>
    <mergeCell ref="S885:U885"/>
    <mergeCell ref="V885:X885"/>
    <mergeCell ref="O886:R886"/>
    <mergeCell ref="S886:U886"/>
    <mergeCell ref="V886:X886"/>
    <mergeCell ref="O887:R887"/>
    <mergeCell ref="AC905:AE905"/>
    <mergeCell ref="AF905:AH905"/>
    <mergeCell ref="AC906:AE906"/>
    <mergeCell ref="AF906:AH906"/>
    <mergeCell ref="O915:R915"/>
    <mergeCell ref="S915:U915"/>
    <mergeCell ref="V915:X915"/>
    <mergeCell ref="O916:R916"/>
    <mergeCell ref="S916:U916"/>
    <mergeCell ref="V916:X916"/>
    <mergeCell ref="O917:R917"/>
    <mergeCell ref="S917:U917"/>
    <mergeCell ref="V917:X917"/>
    <mergeCell ref="O918:R918"/>
    <mergeCell ref="S918:U918"/>
    <mergeCell ref="V918:X918"/>
    <mergeCell ref="O919:R919"/>
    <mergeCell ref="S919:U919"/>
    <mergeCell ref="V919:X919"/>
    <mergeCell ref="N910:Y910"/>
    <mergeCell ref="N911:Y911"/>
    <mergeCell ref="E1223:J1223"/>
    <mergeCell ref="K1223:M1223"/>
    <mergeCell ref="N1223:P1223"/>
    <mergeCell ref="Q1223:T1223"/>
    <mergeCell ref="U1223:Y1223"/>
    <mergeCell ref="K1230:M1230"/>
    <mergeCell ref="N1230:P1230"/>
    <mergeCell ref="Q1230:T1230"/>
    <mergeCell ref="U1230:Y1230"/>
    <mergeCell ref="E1231:J1231"/>
    <mergeCell ref="K1231:M1231"/>
    <mergeCell ref="N1231:P1231"/>
    <mergeCell ref="Q1231:T1231"/>
    <mergeCell ref="U1231:Y1231"/>
    <mergeCell ref="E1224:J1224"/>
    <mergeCell ref="AC1030:AH1030"/>
    <mergeCell ref="Q1235:T1235"/>
    <mergeCell ref="U1235:Y1235"/>
    <mergeCell ref="M1075:R1075"/>
    <mergeCell ref="S1075:Y1075"/>
    <mergeCell ref="D1070:E1070"/>
    <mergeCell ref="F1070:L1070"/>
    <mergeCell ref="M1070:R1070"/>
    <mergeCell ref="S1070:Y1070"/>
    <mergeCell ref="J1033:Q1033"/>
    <mergeCell ref="D1046:Y1046"/>
    <mergeCell ref="D1047:Y1047"/>
    <mergeCell ref="D1050:Y1050"/>
    <mergeCell ref="E1032:I1032"/>
    <mergeCell ref="R1038:Y1038"/>
    <mergeCell ref="R1039:Y1039"/>
    <mergeCell ref="E1038:I1038"/>
    <mergeCell ref="E1236:J1236"/>
    <mergeCell ref="K1236:M1236"/>
    <mergeCell ref="N1236:P1236"/>
    <mergeCell ref="Q1236:T1236"/>
    <mergeCell ref="U1236:Y1236"/>
    <mergeCell ref="E1237:J1237"/>
    <mergeCell ref="K1237:M1237"/>
    <mergeCell ref="N1237:P1237"/>
    <mergeCell ref="Q1237:T1237"/>
    <mergeCell ref="U1237:Y1237"/>
    <mergeCell ref="K1226:M1226"/>
    <mergeCell ref="N1226:P1226"/>
    <mergeCell ref="Q1226:T1226"/>
    <mergeCell ref="U1226:Y1226"/>
    <mergeCell ref="E1227:J1227"/>
    <mergeCell ref="K1227:M1227"/>
    <mergeCell ref="N1227:P1227"/>
    <mergeCell ref="Q1227:T1227"/>
    <mergeCell ref="U1227:Y1227"/>
    <mergeCell ref="E1232:J1232"/>
    <mergeCell ref="K1232:M1232"/>
    <mergeCell ref="N1232:P1232"/>
    <mergeCell ref="Q1232:T1232"/>
    <mergeCell ref="U1233:Y1233"/>
    <mergeCell ref="P1726:T1726"/>
    <mergeCell ref="U1726:Y1726"/>
    <mergeCell ref="C1727:D1727"/>
    <mergeCell ref="E1727:L1727"/>
    <mergeCell ref="M1727:O1727"/>
    <mergeCell ref="P1727:T1727"/>
    <mergeCell ref="U1727:Y1727"/>
    <mergeCell ref="E1238:J1238"/>
    <mergeCell ref="K1238:M1238"/>
    <mergeCell ref="N1238:P1238"/>
    <mergeCell ref="Q1238:T1238"/>
    <mergeCell ref="U1238:Y1238"/>
    <mergeCell ref="E1228:J1228"/>
    <mergeCell ref="K1228:M1228"/>
    <mergeCell ref="N1228:P1228"/>
    <mergeCell ref="Q1228:T1228"/>
    <mergeCell ref="U1228:Y1228"/>
    <mergeCell ref="E1229:J1229"/>
    <mergeCell ref="K1229:M1229"/>
    <mergeCell ref="N1229:P1229"/>
    <mergeCell ref="Q1229:T1229"/>
    <mergeCell ref="U1229:Y1229"/>
    <mergeCell ref="E1230:J1230"/>
    <mergeCell ref="E1239:J1239"/>
    <mergeCell ref="K1239:M1239"/>
    <mergeCell ref="N1239:P1239"/>
    <mergeCell ref="Q1239:T1239"/>
    <mergeCell ref="U1239:Y1239"/>
    <mergeCell ref="U1232:Y1232"/>
    <mergeCell ref="E1233:J1233"/>
    <mergeCell ref="K1233:M1233"/>
    <mergeCell ref="N1233:P1233"/>
    <mergeCell ref="E1360:M1360"/>
    <mergeCell ref="E1361:M1361"/>
    <mergeCell ref="E1352:M1352"/>
    <mergeCell ref="E1353:M1353"/>
    <mergeCell ref="E1341:M1341"/>
    <mergeCell ref="E1349:M1349"/>
    <mergeCell ref="E1357:M1357"/>
    <mergeCell ref="E1347:M1347"/>
    <mergeCell ref="E1355:M1355"/>
    <mergeCell ref="D1075:E1075"/>
    <mergeCell ref="F1075:L1075"/>
    <mergeCell ref="M1728:O1728"/>
    <mergeCell ref="P1728:T1728"/>
    <mergeCell ref="U1728:Y1728"/>
    <mergeCell ref="C1729:D1729"/>
    <mergeCell ref="E1729:L1729"/>
    <mergeCell ref="M1729:O1729"/>
    <mergeCell ref="P1729:T1729"/>
    <mergeCell ref="U1729:Y1729"/>
    <mergeCell ref="C1724:D1724"/>
    <mergeCell ref="E1724:L1724"/>
    <mergeCell ref="M1724:O1724"/>
    <mergeCell ref="P1724:T1724"/>
    <mergeCell ref="U1724:Y1724"/>
    <mergeCell ref="C1725:D1725"/>
    <mergeCell ref="E1725:L1725"/>
    <mergeCell ref="M1725:O1725"/>
    <mergeCell ref="P1725:T1725"/>
    <mergeCell ref="U1725:Y1725"/>
    <mergeCell ref="C1726:D1726"/>
    <mergeCell ref="E1726:L1726"/>
    <mergeCell ref="M1726:O1726"/>
    <mergeCell ref="C1730:D1730"/>
    <mergeCell ref="E1730:L1730"/>
    <mergeCell ref="M1730:O1730"/>
    <mergeCell ref="P1730:T1730"/>
    <mergeCell ref="U1730:Y1730"/>
    <mergeCell ref="C1731:D1731"/>
    <mergeCell ref="E1731:L1731"/>
    <mergeCell ref="M1731:O1731"/>
    <mergeCell ref="P1731:T1731"/>
    <mergeCell ref="U1731:Y1731"/>
    <mergeCell ref="C1728:D1728"/>
    <mergeCell ref="E1728:L1728"/>
    <mergeCell ref="C1732:D1732"/>
    <mergeCell ref="E1732:L1732"/>
    <mergeCell ref="M1732:O1732"/>
    <mergeCell ref="P1732:T1732"/>
    <mergeCell ref="U1732:Y1732"/>
    <mergeCell ref="C1733:D1733"/>
    <mergeCell ref="E1733:L1733"/>
    <mergeCell ref="M1733:O1733"/>
    <mergeCell ref="P1733:T1733"/>
    <mergeCell ref="U1733:Y1733"/>
    <mergeCell ref="C1734:D1734"/>
    <mergeCell ref="E1734:L1734"/>
    <mergeCell ref="M1734:O1734"/>
    <mergeCell ref="P1734:T1734"/>
    <mergeCell ref="U1734:Y1734"/>
    <mergeCell ref="C1735:D1735"/>
    <mergeCell ref="E1735:L1735"/>
    <mergeCell ref="M1735:O1735"/>
    <mergeCell ref="P1735:T1735"/>
    <mergeCell ref="U1735:Y1735"/>
    <mergeCell ref="C1736:D1736"/>
    <mergeCell ref="E1736:L1736"/>
    <mergeCell ref="M1736:O1736"/>
    <mergeCell ref="P1736:T1736"/>
    <mergeCell ref="U1736:Y1736"/>
    <mergeCell ref="C1737:D1737"/>
    <mergeCell ref="E1737:L1737"/>
    <mergeCell ref="M1737:O1737"/>
    <mergeCell ref="P1737:T1737"/>
    <mergeCell ref="U1737:Y1737"/>
    <mergeCell ref="C1738:D1738"/>
    <mergeCell ref="E1738:L1738"/>
    <mergeCell ref="M1738:O1738"/>
    <mergeCell ref="P1738:T1738"/>
    <mergeCell ref="U1738:Y1738"/>
    <mergeCell ref="C1739:D1739"/>
    <mergeCell ref="E1739:L1739"/>
    <mergeCell ref="M1739:O1739"/>
    <mergeCell ref="P1739:T1739"/>
    <mergeCell ref="U1739:Y1739"/>
    <mergeCell ref="C1740:D1740"/>
    <mergeCell ref="E1740:L1740"/>
    <mergeCell ref="M1740:O1740"/>
    <mergeCell ref="P1740:T1740"/>
    <mergeCell ref="U1740:Y1740"/>
    <mergeCell ref="M1749:O1749"/>
    <mergeCell ref="P1749:T1749"/>
    <mergeCell ref="U1749:Y1749"/>
    <mergeCell ref="C1750:D1750"/>
    <mergeCell ref="E1750:L1750"/>
    <mergeCell ref="C1741:D1741"/>
    <mergeCell ref="E1741:L1741"/>
    <mergeCell ref="M1741:O1741"/>
    <mergeCell ref="P1741:T1741"/>
    <mergeCell ref="U1741:Y1741"/>
    <mergeCell ref="C1742:D1742"/>
    <mergeCell ref="E1742:L1742"/>
    <mergeCell ref="M1742:O1742"/>
    <mergeCell ref="P1742:T1742"/>
    <mergeCell ref="U1742:Y1742"/>
    <mergeCell ref="C1743:D1743"/>
    <mergeCell ref="E1743:L1743"/>
    <mergeCell ref="M1743:O1743"/>
    <mergeCell ref="P1743:T1743"/>
    <mergeCell ref="U1743:Y1743"/>
    <mergeCell ref="C1744:D1744"/>
    <mergeCell ref="E1744:L1744"/>
    <mergeCell ref="M1744:O1744"/>
    <mergeCell ref="P1744:T1744"/>
    <mergeCell ref="U1744:Y1744"/>
    <mergeCell ref="M1763:P1763"/>
    <mergeCell ref="Q1763:Y1763"/>
    <mergeCell ref="C1772:D1772"/>
    <mergeCell ref="E1772:L1772"/>
    <mergeCell ref="M1772:P1772"/>
    <mergeCell ref="C1745:D1745"/>
    <mergeCell ref="E1745:L1745"/>
    <mergeCell ref="M1745:O1745"/>
    <mergeCell ref="P1745:T1745"/>
    <mergeCell ref="U1745:Y1745"/>
    <mergeCell ref="C1746:D1746"/>
    <mergeCell ref="E1746:L1746"/>
    <mergeCell ref="M1746:O1746"/>
    <mergeCell ref="P1746:T1746"/>
    <mergeCell ref="U1746:Y1746"/>
    <mergeCell ref="C1747:D1747"/>
    <mergeCell ref="E1747:L1747"/>
    <mergeCell ref="M1747:O1747"/>
    <mergeCell ref="P1747:T1747"/>
    <mergeCell ref="U1747:Y1747"/>
    <mergeCell ref="C1752:D1752"/>
    <mergeCell ref="E1752:L1752"/>
    <mergeCell ref="M1752:O1752"/>
    <mergeCell ref="P1752:T1752"/>
    <mergeCell ref="U1752:Y1752"/>
    <mergeCell ref="C1748:D1748"/>
    <mergeCell ref="E1748:L1748"/>
    <mergeCell ref="M1748:O1748"/>
    <mergeCell ref="P1748:T1748"/>
    <mergeCell ref="U1748:Y1748"/>
    <mergeCell ref="C1749:D1749"/>
    <mergeCell ref="E1749:L1749"/>
    <mergeCell ref="Q1789:Y1789"/>
    <mergeCell ref="C1790:D1790"/>
    <mergeCell ref="E1790:L1790"/>
    <mergeCell ref="M1790:P1790"/>
    <mergeCell ref="Q1790:Y1790"/>
    <mergeCell ref="M1750:O1750"/>
    <mergeCell ref="P1750:T1750"/>
    <mergeCell ref="U1750:Y1750"/>
    <mergeCell ref="C1751:D1751"/>
    <mergeCell ref="E1751:L1751"/>
    <mergeCell ref="M1751:O1751"/>
    <mergeCell ref="P1751:T1751"/>
    <mergeCell ref="U1751:Y1751"/>
    <mergeCell ref="C1780:D1780"/>
    <mergeCell ref="E1780:L1780"/>
    <mergeCell ref="M1780:P1780"/>
    <mergeCell ref="Q1780:Y1780"/>
    <mergeCell ref="C1781:D1781"/>
    <mergeCell ref="E1781:L1781"/>
    <mergeCell ref="M1781:P1781"/>
    <mergeCell ref="Q1781:Y1781"/>
    <mergeCell ref="C1782:D1782"/>
    <mergeCell ref="E1782:L1782"/>
    <mergeCell ref="M1782:P1782"/>
    <mergeCell ref="Q1782:Y1782"/>
    <mergeCell ref="Q1761:Y1761"/>
    <mergeCell ref="C1762:D1762"/>
    <mergeCell ref="E1762:L1762"/>
    <mergeCell ref="M1762:P1762"/>
    <mergeCell ref="Q1762:Y1762"/>
    <mergeCell ref="C1763:D1763"/>
    <mergeCell ref="E1763:L1763"/>
    <mergeCell ref="C1799:D1799"/>
    <mergeCell ref="E1799:L1799"/>
    <mergeCell ref="M1799:P1799"/>
    <mergeCell ref="Q1799:Y1799"/>
    <mergeCell ref="C1798:D1798"/>
    <mergeCell ref="E1798:L1798"/>
    <mergeCell ref="M1798:P1798"/>
    <mergeCell ref="Q1798:Y1798"/>
    <mergeCell ref="C1793:D1793"/>
    <mergeCell ref="E1793:L1793"/>
    <mergeCell ref="M1793:P1793"/>
    <mergeCell ref="Q1793:Y1793"/>
    <mergeCell ref="C1794:D1794"/>
    <mergeCell ref="E1794:L1794"/>
    <mergeCell ref="M1794:P1794"/>
    <mergeCell ref="Q1794:Y1794"/>
    <mergeCell ref="C1795:D1795"/>
    <mergeCell ref="E1795:L1795"/>
    <mergeCell ref="M1795:P1795"/>
    <mergeCell ref="Q1795:Y1795"/>
    <mergeCell ref="C1796:D1796"/>
    <mergeCell ref="E1796:L1796"/>
    <mergeCell ref="M1796:P1796"/>
    <mergeCell ref="Q1796:Y1796"/>
    <mergeCell ref="C148:Y148"/>
    <mergeCell ref="D338:Y338"/>
    <mergeCell ref="D339:Y339"/>
    <mergeCell ref="D340:Y340"/>
    <mergeCell ref="D341:Y341"/>
    <mergeCell ref="C1797:D1797"/>
    <mergeCell ref="E1797:L1797"/>
    <mergeCell ref="M1797:P1797"/>
    <mergeCell ref="Q1797:Y1797"/>
    <mergeCell ref="C1791:D1791"/>
    <mergeCell ref="E1791:L1791"/>
    <mergeCell ref="M1791:P1791"/>
    <mergeCell ref="Q1791:Y1791"/>
    <mergeCell ref="C1792:D1792"/>
    <mergeCell ref="E1792:L1792"/>
    <mergeCell ref="M1792:P1792"/>
    <mergeCell ref="Q1792:Y1792"/>
    <mergeCell ref="C1786:D1786"/>
    <mergeCell ref="E1786:L1786"/>
    <mergeCell ref="M1786:P1786"/>
    <mergeCell ref="Q1786:Y1786"/>
    <mergeCell ref="C1787:D1787"/>
    <mergeCell ref="E1787:L1787"/>
    <mergeCell ref="M1787:P1787"/>
    <mergeCell ref="Q1787:Y1787"/>
    <mergeCell ref="C1788:D1788"/>
    <mergeCell ref="E1788:L1788"/>
    <mergeCell ref="M1788:P1788"/>
    <mergeCell ref="Q1788:Y1788"/>
    <mergeCell ref="C1789:D1789"/>
    <mergeCell ref="E1789:L1789"/>
    <mergeCell ref="M1789:P1789"/>
  </mergeCells>
  <hyperlinks>
    <hyperlink ref="C1938" location="_ftnref3" display="_ftnref3"/>
    <hyperlink ref="C1939" location="_ftnref4" display="_ftnref4"/>
    <hyperlink ref="C1940" location="_ftnref5" display="_ftnref5"/>
    <hyperlink ref="C1941" location="_ftnref6" display="_ftnref6"/>
    <hyperlink ref="C1942" location="_ftnref7" display="_ftnref7"/>
    <hyperlink ref="B2009" r:id="rId1" display="https://www.smart-mh.org/cdn/2019/08/190818171526_405e4be8b9d3ce2374fe29ce1561a62b.pdf"/>
    <hyperlink ref="B2012" location="_ftnref1" display="_ftnref1"/>
    <hyperlink ref="T589" r:id="rId2"/>
    <hyperlink ref="T587" r:id="rId3"/>
    <hyperlink ref="T588" r:id="rId4"/>
    <hyperlink ref="AF868" r:id="rId5"/>
    <hyperlink ref="AF906" r:id="rId6"/>
    <hyperlink ref="AF905" r:id="rId7"/>
  </hyperlinks>
  <pageMargins left="0.25" right="0.25" top="0.75" bottom="0.75" header="0.3" footer="0.3"/>
  <pageSetup paperSize="9" scale="95" orientation="portrait" r:id="rId8"/>
  <rowBreaks count="49" manualBreakCount="49">
    <brk id="205" max="25" man="1"/>
    <brk id="233" max="16383" man="1"/>
    <brk id="264" max="16383" man="1"/>
    <brk id="300" max="25" man="1"/>
    <brk id="336" max="25" man="1"/>
    <brk id="347" max="25" man="1"/>
    <brk id="379" max="25" man="1"/>
    <brk id="408" max="25" man="1"/>
    <brk id="435" max="25" man="1"/>
    <brk id="461" max="25" man="1"/>
    <brk id="486" max="25" man="1"/>
    <brk id="510" max="25" man="1"/>
    <brk id="532" max="25" man="1"/>
    <brk id="556" max="25" man="1"/>
    <brk id="573" max="25" man="1"/>
    <brk id="592" max="25" man="1"/>
    <brk id="630" max="25" man="1"/>
    <brk id="669" max="25" man="1"/>
    <brk id="707" max="25" man="1"/>
    <brk id="733" max="25" man="1"/>
    <brk id="759" max="25" man="1"/>
    <brk id="783" max="25" man="1"/>
    <brk id="809" max="25" man="1"/>
    <brk id="835" max="25" man="1"/>
    <brk id="860" max="25" man="1"/>
    <brk id="898" max="25" man="1"/>
    <brk id="931" max="25" man="1"/>
    <brk id="960" max="25" man="1"/>
    <brk id="991" max="25" man="1"/>
    <brk id="1022" max="25" man="1"/>
    <brk id="1042" max="25" man="1"/>
    <brk id="1064" max="25" man="1"/>
    <brk id="1098" max="25" man="1"/>
    <brk id="1154" max="25" man="1"/>
    <brk id="1195" max="25" man="1"/>
    <brk id="1218" max="25" man="1"/>
    <brk id="1241" max="25" man="1"/>
    <brk id="1285" max="25" man="1"/>
    <brk id="1305" max="25" man="1"/>
    <brk id="1369" max="25" man="1"/>
    <brk id="1622" max="25" man="1"/>
    <brk id="1692" max="25" man="1"/>
    <brk id="1752" max="25" man="1"/>
    <brk id="1821" max="25" man="1"/>
    <brk id="1861" max="25" man="1"/>
    <brk id="1906" max="25" man="1"/>
    <brk id="1942" max="25" man="1"/>
    <brk id="1977" max="25" man="1"/>
    <brk id="2012" max="25" man="1"/>
  </rowBreaks>
  <colBreaks count="1" manualBreakCount="1">
    <brk id="26" max="1048575" man="1"/>
  </colBreaks>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B26" zoomScaleSheetLayoutView="100" workbookViewId="0">
      <selection activeCell="H31" sqref="H31"/>
    </sheetView>
  </sheetViews>
  <sheetFormatPr defaultRowHeight="15"/>
  <cols>
    <col min="2" max="2" width="7.5703125" bestFit="1" customWidth="1"/>
    <col min="3" max="3" width="26.28515625" bestFit="1" customWidth="1"/>
    <col min="4" max="4" width="15" customWidth="1"/>
    <col min="5" max="5" width="16" customWidth="1"/>
    <col min="6" max="6" width="17.85546875" customWidth="1"/>
    <col min="8" max="8" width="12.28515625" bestFit="1" customWidth="1"/>
    <col min="9" max="9" width="15.7109375" customWidth="1"/>
  </cols>
  <sheetData>
    <row r="1" spans="1:13" hidden="1"/>
    <row r="2" spans="1:13" ht="18.75" hidden="1">
      <c r="B2" s="724" t="s">
        <v>547</v>
      </c>
      <c r="C2" s="724"/>
      <c r="D2" s="724"/>
      <c r="E2" s="724"/>
      <c r="F2" s="724"/>
      <c r="I2">
        <f>12000*1000</f>
        <v>12000000</v>
      </c>
    </row>
    <row r="3" spans="1:13" hidden="1"/>
    <row r="4" spans="1:13" hidden="1">
      <c r="B4" s="251" t="s">
        <v>145</v>
      </c>
      <c r="C4" s="251" t="s">
        <v>127</v>
      </c>
      <c r="D4" s="251" t="s">
        <v>159</v>
      </c>
      <c r="E4" s="256" t="s">
        <v>464</v>
      </c>
      <c r="F4" s="256" t="s">
        <v>465</v>
      </c>
      <c r="I4">
        <v>6500</v>
      </c>
      <c r="J4">
        <v>1090</v>
      </c>
      <c r="K4">
        <f>+I4*J4</f>
        <v>7085000</v>
      </c>
    </row>
    <row r="5" spans="1:13" hidden="1">
      <c r="B5" s="252">
        <v>1</v>
      </c>
      <c r="C5" s="253" t="str">
        <f>'[10]2.Capex Details'!B2</f>
        <v>Land and Building</v>
      </c>
      <c r="D5" s="257">
        <f>+'2.Capex Details'!H15</f>
        <v>19004500</v>
      </c>
      <c r="E5" s="384">
        <v>0.6</v>
      </c>
      <c r="F5" s="259">
        <f t="shared" ref="F5:F10" si="0">D5*E5</f>
        <v>11402700</v>
      </c>
      <c r="H5">
        <f>5+59.25</f>
        <v>64.25</v>
      </c>
      <c r="I5">
        <v>51.5</v>
      </c>
    </row>
    <row r="6" spans="1:13" hidden="1">
      <c r="B6" s="252">
        <v>2</v>
      </c>
      <c r="C6" s="253" t="str">
        <f>'[10]2.Capex Details'!B20</f>
        <v>Machinery and Equipment</v>
      </c>
      <c r="D6" s="257">
        <f>+'2.Capex Details'!G86</f>
        <v>18127932.961199999</v>
      </c>
      <c r="E6" s="384">
        <v>0.6</v>
      </c>
      <c r="F6" s="259">
        <f t="shared" si="0"/>
        <v>10876759.776719999</v>
      </c>
      <c r="H6">
        <f>182.26+28.49</f>
        <v>210.75</v>
      </c>
      <c r="I6">
        <v>126.5</v>
      </c>
    </row>
    <row r="7" spans="1:13" hidden="1">
      <c r="B7" s="252">
        <v>3</v>
      </c>
      <c r="C7" s="253" t="str">
        <f>'[10]2.Capex Details'!B87</f>
        <v>Furniture and Fixture</v>
      </c>
      <c r="D7" s="257">
        <f>+'2.Capex Details'!G104</f>
        <v>0</v>
      </c>
      <c r="E7" s="384">
        <v>0.6</v>
      </c>
      <c r="F7" s="259">
        <f t="shared" si="0"/>
        <v>0</v>
      </c>
      <c r="I7">
        <f>+I5*I6</f>
        <v>6514.75</v>
      </c>
    </row>
    <row r="8" spans="1:13" hidden="1">
      <c r="B8" s="252">
        <v>4</v>
      </c>
      <c r="C8" s="253" t="str">
        <f>'[10]2.Capex Details'!B101</f>
        <v>IT &amp; It Infrastracture</v>
      </c>
      <c r="D8" s="257">
        <f>+'2.Capex Details'!G119</f>
        <v>0</v>
      </c>
      <c r="E8" s="384">
        <v>0.6</v>
      </c>
      <c r="F8" s="259">
        <f t="shared" si="0"/>
        <v>0</v>
      </c>
      <c r="I8">
        <f>20*25</f>
        <v>500</v>
      </c>
    </row>
    <row r="9" spans="1:13" ht="25.5" hidden="1">
      <c r="B9" s="252">
        <v>5</v>
      </c>
      <c r="C9" s="253" t="str">
        <f>'[10]2.Capex Details'!B115</f>
        <v>Transport vehical  (Refer van and other)</v>
      </c>
      <c r="D9" s="257">
        <f>+'2.Capex Details'!G134</f>
        <v>0</v>
      </c>
      <c r="E9" s="384">
        <v>0.6</v>
      </c>
      <c r="F9" s="259">
        <f t="shared" si="0"/>
        <v>0</v>
      </c>
      <c r="H9">
        <v>0</v>
      </c>
      <c r="I9">
        <v>150</v>
      </c>
    </row>
    <row r="10" spans="1:13" hidden="1">
      <c r="B10" s="252">
        <v>6</v>
      </c>
      <c r="C10" s="253" t="str">
        <f>'[10]2.Capex Details'!B127</f>
        <v>Preliminary Expenses</v>
      </c>
      <c r="D10" s="257">
        <f>+'2.Capex Details'!G145</f>
        <v>1883203</v>
      </c>
      <c r="E10" s="384">
        <v>0.6</v>
      </c>
      <c r="F10" s="259">
        <f t="shared" si="0"/>
        <v>1129921.8</v>
      </c>
      <c r="I10">
        <f>+I7+I8+I9</f>
        <v>7164.75</v>
      </c>
      <c r="L10" t="s">
        <v>417</v>
      </c>
    </row>
    <row r="11" spans="1:13" hidden="1">
      <c r="B11" s="252">
        <v>7</v>
      </c>
      <c r="C11" s="253" t="s">
        <v>157</v>
      </c>
      <c r="D11" s="257">
        <f>+'5.Closing Stock &amp; W Capital'!E56</f>
        <v>955691.00195066223</v>
      </c>
      <c r="E11" s="260"/>
      <c r="F11" s="260"/>
      <c r="I11">
        <v>2200000</v>
      </c>
    </row>
    <row r="12" spans="1:13" hidden="1">
      <c r="B12" s="1076" t="s">
        <v>1</v>
      </c>
      <c r="C12" s="1076"/>
      <c r="D12" s="261">
        <f>SUM(D5:D11)</f>
        <v>39971326.963150658</v>
      </c>
      <c r="E12" s="260"/>
      <c r="F12" s="261">
        <f>SUM(F5:F11)</f>
        <v>23409381.576719999</v>
      </c>
      <c r="H12">
        <f>SUM(H4:H11)</f>
        <v>275</v>
      </c>
      <c r="I12">
        <f>+I11/I10</f>
        <v>307.05886458006211</v>
      </c>
    </row>
    <row r="13" spans="1:13" hidden="1">
      <c r="D13" s="17"/>
      <c r="H13">
        <f>+H12*60%</f>
        <v>165</v>
      </c>
      <c r="M13">
        <v>48</v>
      </c>
    </row>
    <row r="14" spans="1:13" ht="25.5" hidden="1" customHeight="1">
      <c r="A14" s="1077" t="s">
        <v>418</v>
      </c>
      <c r="B14" s="1077"/>
      <c r="C14" s="1077"/>
      <c r="D14" s="1077"/>
      <c r="E14" s="1077"/>
      <c r="F14" s="1077"/>
      <c r="H14">
        <v>120</v>
      </c>
      <c r="M14">
        <v>11.64</v>
      </c>
    </row>
    <row r="15" spans="1:13" hidden="1">
      <c r="H15">
        <f>+H14*60%</f>
        <v>72</v>
      </c>
      <c r="I15">
        <v>20</v>
      </c>
      <c r="J15">
        <v>15</v>
      </c>
      <c r="M15">
        <f>M13+M14</f>
        <v>59.64</v>
      </c>
    </row>
    <row r="16" spans="1:13" ht="18.75" hidden="1">
      <c r="B16" s="724" t="s">
        <v>548</v>
      </c>
      <c r="C16" s="724"/>
      <c r="D16" s="724"/>
      <c r="E16" s="724"/>
      <c r="F16" s="724"/>
      <c r="I16">
        <v>15</v>
      </c>
      <c r="J16">
        <v>2</v>
      </c>
      <c r="M16">
        <v>19.05</v>
      </c>
    </row>
    <row r="17" spans="2:13" hidden="1">
      <c r="I17" s="3">
        <f>+I16/I15</f>
        <v>0.75</v>
      </c>
      <c r="M17">
        <f>M15+M16</f>
        <v>78.69</v>
      </c>
    </row>
    <row r="18" spans="2:13" hidden="1">
      <c r="B18" s="250" t="s">
        <v>145</v>
      </c>
      <c r="C18" s="251" t="s">
        <v>127</v>
      </c>
      <c r="D18" s="251"/>
      <c r="E18" s="251" t="s">
        <v>619</v>
      </c>
      <c r="F18" s="251" t="s">
        <v>159</v>
      </c>
    </row>
    <row r="19" spans="2:13" ht="25.5" hidden="1">
      <c r="B19" s="252">
        <v>1</v>
      </c>
      <c r="C19" s="399" t="s">
        <v>337</v>
      </c>
      <c r="D19" s="400"/>
      <c r="E19" s="385">
        <f>+F19/D12</f>
        <v>0.58565435163813739</v>
      </c>
      <c r="F19" s="254">
        <f>+F12</f>
        <v>23409381.576719999</v>
      </c>
      <c r="I19" s="17">
        <f>+F19-20000000</f>
        <v>3409381.5767199993</v>
      </c>
      <c r="L19" s="17">
        <f>+F19-20000000</f>
        <v>3409381.5767199993</v>
      </c>
    </row>
    <row r="20" spans="2:13" ht="25.5" hidden="1">
      <c r="B20" s="252">
        <v>1</v>
      </c>
      <c r="C20" s="399" t="s">
        <v>1976</v>
      </c>
      <c r="D20" s="400"/>
      <c r="E20" s="284">
        <v>0.3</v>
      </c>
      <c r="F20" s="568">
        <f>+D12-F19-F21</f>
        <v>12564812.690115593</v>
      </c>
      <c r="G20" s="3"/>
      <c r="H20" s="3"/>
      <c r="I20">
        <f>+I19/60*100</f>
        <v>5682302.6278666658</v>
      </c>
      <c r="J20">
        <v>375000</v>
      </c>
      <c r="L20">
        <f>+L19/60</f>
        <v>56823.026278666657</v>
      </c>
    </row>
    <row r="21" spans="2:13" hidden="1">
      <c r="B21" s="252">
        <v>2</v>
      </c>
      <c r="C21" s="399" t="s">
        <v>134</v>
      </c>
      <c r="D21" s="400"/>
      <c r="E21" s="385">
        <v>0.1</v>
      </c>
      <c r="F21" s="254">
        <f>+D12*E21</f>
        <v>3997132.696315066</v>
      </c>
      <c r="H21" s="3"/>
      <c r="I21">
        <f>+D12*E20</f>
        <v>11991398.088945197</v>
      </c>
      <c r="J21">
        <f>+J20/60</f>
        <v>6250</v>
      </c>
      <c r="L21">
        <f>+L20*100</f>
        <v>5682302.6278666658</v>
      </c>
    </row>
    <row r="22" spans="2:13" hidden="1">
      <c r="B22" s="1076" t="s">
        <v>1</v>
      </c>
      <c r="C22" s="1078"/>
      <c r="D22" s="401"/>
      <c r="E22" s="255"/>
      <c r="F22" s="255">
        <f>SUM(F19:F21)</f>
        <v>39971326.963150658</v>
      </c>
      <c r="J22">
        <f>+J21*100</f>
        <v>625000</v>
      </c>
    </row>
    <row r="23" spans="2:13" hidden="1">
      <c r="I23">
        <v>200</v>
      </c>
    </row>
    <row r="24" spans="2:13" hidden="1">
      <c r="B24" s="1073" t="s">
        <v>419</v>
      </c>
      <c r="C24" s="1073"/>
      <c r="D24" s="1073"/>
      <c r="E24" s="1073"/>
      <c r="F24" s="1073"/>
      <c r="I24">
        <f>150+90</f>
        <v>240</v>
      </c>
    </row>
    <row r="25" spans="2:13" hidden="1">
      <c r="I25">
        <f>+I23+I24</f>
        <v>440</v>
      </c>
      <c r="L25">
        <v>70</v>
      </c>
    </row>
    <row r="26" spans="2:13" ht="18.75">
      <c r="B26" s="724" t="s">
        <v>1981</v>
      </c>
      <c r="C26" s="724"/>
      <c r="D26" s="724"/>
      <c r="E26" s="724"/>
      <c r="F26" s="724"/>
      <c r="L26">
        <v>30</v>
      </c>
    </row>
    <row r="27" spans="2:13">
      <c r="B27" s="262" t="s">
        <v>145</v>
      </c>
      <c r="C27" s="263" t="s">
        <v>575</v>
      </c>
      <c r="D27" s="264" t="s">
        <v>576</v>
      </c>
      <c r="E27" s="265" t="s">
        <v>577</v>
      </c>
      <c r="F27" s="1074" t="s">
        <v>578</v>
      </c>
      <c r="G27" s="1075"/>
      <c r="L27">
        <v>15</v>
      </c>
    </row>
    <row r="28" spans="2:13" ht="25.5">
      <c r="B28" s="266">
        <v>1</v>
      </c>
      <c r="C28" s="253" t="s">
        <v>380</v>
      </c>
      <c r="D28" s="302">
        <f>+'9. Financial indiacators'!D50</f>
        <v>0.42973211645471265</v>
      </c>
      <c r="E28" s="266" t="s">
        <v>381</v>
      </c>
      <c r="F28" s="269" t="s">
        <v>579</v>
      </c>
      <c r="G28" s="266" t="s">
        <v>1357</v>
      </c>
      <c r="L28">
        <v>30</v>
      </c>
    </row>
    <row r="29" spans="2:13" ht="38.25">
      <c r="B29" s="527">
        <v>2</v>
      </c>
      <c r="C29" s="528" t="s">
        <v>382</v>
      </c>
      <c r="D29" s="301">
        <f>+'9. Financial indiacators'!D86</f>
        <v>0.17998965270897771</v>
      </c>
      <c r="E29" s="527" t="s">
        <v>381</v>
      </c>
      <c r="F29" s="529" t="s">
        <v>580</v>
      </c>
      <c r="G29" s="527" t="s">
        <v>1617</v>
      </c>
    </row>
    <row r="30" spans="2:13" ht="38.25">
      <c r="B30" s="266">
        <v>3</v>
      </c>
      <c r="C30" s="253" t="s">
        <v>383</v>
      </c>
      <c r="D30" s="301">
        <f>+'9. Financial indiacators'!C16</f>
        <v>0.1160983927476209</v>
      </c>
      <c r="E30" s="266" t="s">
        <v>381</v>
      </c>
      <c r="F30" s="269" t="s">
        <v>581</v>
      </c>
      <c r="G30" s="266" t="s">
        <v>1617</v>
      </c>
      <c r="L30">
        <f>SUM(L25:L29)</f>
        <v>145</v>
      </c>
    </row>
    <row r="31" spans="2:13" ht="63.75">
      <c r="B31" s="266">
        <v>4</v>
      </c>
      <c r="C31" s="253" t="s">
        <v>384</v>
      </c>
      <c r="D31" s="300">
        <f>+'9. Financial indiacators'!D74</f>
        <v>2495928.6203324869</v>
      </c>
      <c r="E31" s="266" t="s">
        <v>388</v>
      </c>
      <c r="F31" s="269" t="s">
        <v>582</v>
      </c>
      <c r="G31" s="266" t="s">
        <v>385</v>
      </c>
      <c r="L31">
        <v>190</v>
      </c>
    </row>
    <row r="32" spans="2:13" ht="51">
      <c r="B32" s="266">
        <v>5</v>
      </c>
      <c r="C32" s="253" t="s">
        <v>386</v>
      </c>
      <c r="D32" s="303">
        <f>+'9. Financial indiacators'!D102</f>
        <v>5.0743386616228197</v>
      </c>
      <c r="E32" s="266" t="s">
        <v>381</v>
      </c>
      <c r="F32" s="269" t="s">
        <v>583</v>
      </c>
      <c r="G32" s="266" t="s">
        <v>813</v>
      </c>
      <c r="L32">
        <f>+L31-L30</f>
        <v>45</v>
      </c>
    </row>
    <row r="33" spans="2:7" ht="38.25">
      <c r="B33" s="266">
        <v>6</v>
      </c>
      <c r="C33" s="267" t="s">
        <v>387</v>
      </c>
      <c r="D33" s="303">
        <f>+'9. Financial indiacators'!D117</f>
        <v>2.7936058573409057</v>
      </c>
      <c r="E33" s="268" t="s">
        <v>381</v>
      </c>
      <c r="F33" s="269" t="s">
        <v>584</v>
      </c>
      <c r="G33" s="266" t="s">
        <v>1626</v>
      </c>
    </row>
  </sheetData>
  <mergeCells count="8">
    <mergeCell ref="B26:F26"/>
    <mergeCell ref="F27:G27"/>
    <mergeCell ref="B2:F2"/>
    <mergeCell ref="B12:C12"/>
    <mergeCell ref="A14:F14"/>
    <mergeCell ref="B16:F16"/>
    <mergeCell ref="B22:C22"/>
    <mergeCell ref="B24:F24"/>
  </mergeCells>
  <conditionalFormatting sqref="D23">
    <cfRule type="cellIs" dxfId="6" priority="1" operator="greaterThan">
      <formula>0</formula>
    </cfRule>
  </conditionalFormatting>
  <pageMargins left="0.7" right="0.7" top="2.5" bottom="0.75" header="0.3" footer="0.3"/>
  <pageSetup scale="8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4"/>
  <sheetViews>
    <sheetView showFormulas="1" showGridLines="0" view="pageBreakPreview" topLeftCell="A261" zoomScale="55" zoomScaleSheetLayoutView="55" workbookViewId="0">
      <selection activeCell="D267" sqref="D267:E267"/>
    </sheetView>
  </sheetViews>
  <sheetFormatPr defaultRowHeight="15.75"/>
  <cols>
    <col min="1" max="1" width="3.42578125" style="338" customWidth="1"/>
    <col min="2" max="2" width="0.7109375" style="336" customWidth="1"/>
    <col min="3" max="3" width="3.5703125" style="336" customWidth="1"/>
    <col min="4" max="4" width="24.140625" style="336" customWidth="1"/>
    <col min="5" max="5" width="23.7109375" style="336" customWidth="1"/>
    <col min="6" max="6" width="3.7109375" style="336" customWidth="1"/>
    <col min="7" max="7" width="1.140625" style="336" customWidth="1"/>
    <col min="8" max="8" width="4.42578125" style="336" customWidth="1"/>
  </cols>
  <sheetData>
    <row r="1" spans="1:8">
      <c r="A1" s="328"/>
      <c r="B1" s="747"/>
      <c r="C1" s="747"/>
      <c r="D1" s="747"/>
      <c r="E1" s="747"/>
      <c r="F1" s="747"/>
      <c r="G1" s="747"/>
      <c r="H1" s="747"/>
    </row>
    <row r="2" spans="1:8">
      <c r="A2" s="329"/>
      <c r="B2" s="747"/>
      <c r="C2" s="747"/>
      <c r="D2" s="747"/>
      <c r="E2" s="747"/>
      <c r="F2" s="747"/>
      <c r="G2" s="747"/>
      <c r="H2" s="747"/>
    </row>
    <row r="3" spans="1:8" ht="10.5" customHeight="1">
      <c r="A3" s="330"/>
      <c r="B3" s="748"/>
      <c r="C3" s="749"/>
      <c r="D3" s="749"/>
      <c r="E3" s="749"/>
      <c r="F3" s="352"/>
      <c r="G3" s="353"/>
      <c r="H3" s="332"/>
    </row>
    <row r="4" spans="1:8">
      <c r="A4" s="330"/>
      <c r="B4" s="354"/>
      <c r="C4" s="331"/>
      <c r="D4" s="331"/>
      <c r="E4" s="331"/>
      <c r="F4" s="331"/>
      <c r="G4" s="355"/>
      <c r="H4" s="331"/>
    </row>
    <row r="5" spans="1:8">
      <c r="A5" s="330"/>
      <c r="B5" s="354"/>
      <c r="C5" s="331"/>
      <c r="D5" s="331"/>
      <c r="E5" s="331"/>
      <c r="F5" s="331"/>
      <c r="G5" s="355"/>
      <c r="H5" s="331"/>
    </row>
    <row r="6" spans="1:8">
      <c r="A6" s="330"/>
      <c r="B6" s="737"/>
      <c r="C6" s="738"/>
      <c r="D6" s="738"/>
      <c r="E6" s="738"/>
      <c r="F6" s="331"/>
      <c r="G6" s="355"/>
      <c r="H6" s="331"/>
    </row>
    <row r="7" spans="1:8">
      <c r="A7" s="330"/>
      <c r="B7" s="354"/>
      <c r="C7" s="331"/>
      <c r="D7" s="331"/>
      <c r="E7" s="331"/>
      <c r="F7" s="331"/>
      <c r="G7" s="355"/>
      <c r="H7" s="331"/>
    </row>
    <row r="8" spans="1:8">
      <c r="A8" s="330"/>
      <c r="B8" s="354"/>
      <c r="C8" s="331"/>
      <c r="D8" s="331"/>
      <c r="E8" s="331"/>
      <c r="F8" s="331"/>
      <c r="G8" s="355"/>
      <c r="H8" s="331"/>
    </row>
    <row r="9" spans="1:8">
      <c r="A9" s="330"/>
      <c r="B9" s="354"/>
      <c r="C9" s="331"/>
      <c r="D9" s="331"/>
      <c r="E9" s="331"/>
      <c r="F9" s="331"/>
      <c r="G9" s="355"/>
      <c r="H9" s="331"/>
    </row>
    <row r="10" spans="1:8" ht="30">
      <c r="A10" s="330"/>
      <c r="B10" s="356"/>
      <c r="D10" s="1080" t="s">
        <v>1526</v>
      </c>
      <c r="E10" s="1080"/>
      <c r="F10" s="331"/>
      <c r="G10" s="355"/>
      <c r="H10" s="331"/>
    </row>
    <row r="11" spans="1:8">
      <c r="A11" s="330"/>
      <c r="B11" s="354"/>
      <c r="C11" s="331"/>
      <c r="D11" s="332"/>
      <c r="E11" s="332"/>
      <c r="F11" s="331"/>
      <c r="G11" s="355"/>
      <c r="H11" s="331"/>
    </row>
    <row r="12" spans="1:8">
      <c r="A12" s="330"/>
      <c r="B12" s="354"/>
      <c r="C12" s="331"/>
      <c r="D12" s="332"/>
      <c r="E12" s="332"/>
      <c r="F12" s="331"/>
      <c r="G12" s="355"/>
      <c r="H12" s="331"/>
    </row>
    <row r="13" spans="1:8" ht="26.25">
      <c r="A13" s="330"/>
      <c r="B13" s="354"/>
      <c r="C13" s="331"/>
      <c r="D13" s="763" t="s">
        <v>794</v>
      </c>
      <c r="E13" s="763"/>
      <c r="F13" s="331"/>
      <c r="G13" s="355"/>
      <c r="H13" s="331"/>
    </row>
    <row r="14" spans="1:8">
      <c r="A14" s="330"/>
      <c r="B14" s="354"/>
      <c r="C14" s="331"/>
      <c r="D14" s="332"/>
      <c r="E14" s="332"/>
      <c r="F14" s="331"/>
      <c r="G14" s="355"/>
      <c r="H14" s="331"/>
    </row>
    <row r="15" spans="1:8">
      <c r="A15" s="330"/>
      <c r="B15" s="354"/>
      <c r="C15" s="331"/>
      <c r="D15" s="332"/>
      <c r="E15" s="332"/>
      <c r="F15" s="331"/>
      <c r="G15" s="355"/>
      <c r="H15" s="331"/>
    </row>
    <row r="16" spans="1:8" ht="7.5" customHeight="1">
      <c r="A16" s="330"/>
      <c r="B16" s="354"/>
      <c r="C16" s="331"/>
      <c r="D16" s="332"/>
      <c r="E16" s="332"/>
      <c r="F16" s="331"/>
      <c r="G16" s="355"/>
      <c r="H16" s="331"/>
    </row>
    <row r="17" spans="1:8" ht="27.75">
      <c r="A17" s="330"/>
      <c r="B17" s="356"/>
      <c r="D17" s="1081" t="s">
        <v>612</v>
      </c>
      <c r="E17" s="1081"/>
      <c r="F17" s="331"/>
      <c r="G17" s="355"/>
      <c r="H17" s="331"/>
    </row>
    <row r="18" spans="1:8">
      <c r="A18" s="330"/>
      <c r="B18" s="354"/>
      <c r="C18" s="331"/>
      <c r="D18" s="332"/>
      <c r="E18" s="332"/>
      <c r="F18" s="331"/>
      <c r="G18" s="355"/>
      <c r="H18" s="331"/>
    </row>
    <row r="19" spans="1:8">
      <c r="A19" s="330"/>
      <c r="B19" s="354"/>
      <c r="C19" s="331"/>
      <c r="D19" s="331"/>
      <c r="E19" s="331"/>
      <c r="F19" s="331"/>
      <c r="G19" s="355"/>
      <c r="H19" s="333"/>
    </row>
    <row r="20" spans="1:8">
      <c r="A20" s="330"/>
      <c r="B20" s="354"/>
      <c r="C20" s="331"/>
      <c r="D20" s="331"/>
      <c r="E20" s="331"/>
      <c r="F20" s="331"/>
      <c r="G20" s="355"/>
      <c r="H20" s="333"/>
    </row>
    <row r="21" spans="1:8">
      <c r="A21" s="330"/>
      <c r="B21" s="354"/>
      <c r="C21" s="331"/>
      <c r="D21" s="331"/>
      <c r="E21" s="331"/>
      <c r="F21" s="331"/>
      <c r="G21" s="355"/>
      <c r="H21" s="333"/>
    </row>
    <row r="22" spans="1:8">
      <c r="A22" s="330"/>
      <c r="B22" s="354"/>
      <c r="C22" s="331"/>
      <c r="D22" s="331"/>
      <c r="E22" s="331"/>
      <c r="F22" s="331"/>
      <c r="G22" s="355"/>
      <c r="H22" s="333"/>
    </row>
    <row r="23" spans="1:8">
      <c r="A23" s="330"/>
      <c r="B23" s="356"/>
      <c r="G23" s="357"/>
      <c r="H23" s="333"/>
    </row>
    <row r="24" spans="1:8" ht="15.75" customHeight="1">
      <c r="A24" s="337"/>
      <c r="B24" s="752"/>
      <c r="C24" s="753"/>
      <c r="D24" s="753"/>
      <c r="E24" s="753"/>
      <c r="F24" s="358"/>
      <c r="G24" s="359"/>
      <c r="H24" s="360"/>
    </row>
    <row r="25" spans="1:8">
      <c r="A25" s="330"/>
      <c r="B25" s="356"/>
      <c r="G25" s="357"/>
    </row>
    <row r="26" spans="1:8">
      <c r="A26" s="330"/>
      <c r="B26" s="354"/>
      <c r="C26" s="331"/>
      <c r="D26" s="331"/>
      <c r="E26" s="338"/>
      <c r="F26" s="338"/>
      <c r="G26" s="361"/>
      <c r="H26" s="339"/>
    </row>
    <row r="27" spans="1:8" ht="15.75" customHeight="1">
      <c r="A27" s="330"/>
      <c r="B27" s="730"/>
      <c r="C27" s="731"/>
      <c r="D27" s="731"/>
      <c r="E27" s="731"/>
      <c r="F27" s="343"/>
      <c r="G27" s="362"/>
      <c r="H27" s="743"/>
    </row>
    <row r="28" spans="1:8">
      <c r="A28" s="330"/>
      <c r="B28" s="730"/>
      <c r="C28" s="731"/>
      <c r="D28" s="731"/>
      <c r="E28" s="731"/>
      <c r="F28" s="343"/>
      <c r="G28" s="362"/>
      <c r="H28" s="743"/>
    </row>
    <row r="29" spans="1:8">
      <c r="A29" s="330"/>
      <c r="B29" s="363"/>
      <c r="C29" s="343"/>
      <c r="D29" s="343"/>
      <c r="E29" s="343"/>
      <c r="F29" s="343"/>
      <c r="G29" s="362"/>
      <c r="H29" s="344"/>
    </row>
    <row r="30" spans="1:8">
      <c r="A30" s="330"/>
      <c r="B30" s="364"/>
      <c r="C30" s="332"/>
      <c r="D30" s="332"/>
      <c r="E30" s="332"/>
      <c r="F30" s="332"/>
      <c r="G30" s="365"/>
      <c r="H30" s="332"/>
    </row>
    <row r="31" spans="1:8">
      <c r="A31" s="330"/>
      <c r="B31" s="737"/>
      <c r="C31" s="738"/>
      <c r="D31" s="738"/>
      <c r="E31" s="738"/>
      <c r="F31" s="331"/>
      <c r="G31" s="355"/>
      <c r="H31" s="345"/>
    </row>
    <row r="32" spans="1:8" ht="15.75" hidden="1" customHeight="1">
      <c r="A32" s="330"/>
      <c r="B32" s="737" t="s">
        <v>774</v>
      </c>
      <c r="C32" s="738"/>
      <c r="D32" s="738"/>
      <c r="E32" s="738"/>
      <c r="F32" s="331"/>
      <c r="G32" s="355"/>
      <c r="H32" s="345" t="s">
        <v>770</v>
      </c>
    </row>
    <row r="33" spans="1:8" hidden="1">
      <c r="A33" s="330"/>
      <c r="B33" s="354" t="s">
        <v>775</v>
      </c>
      <c r="C33" s="331"/>
      <c r="D33" s="331"/>
      <c r="E33" s="331"/>
      <c r="F33" s="331"/>
      <c r="G33" s="355"/>
      <c r="H33" s="345" t="s">
        <v>770</v>
      </c>
    </row>
    <row r="34" spans="1:8">
      <c r="A34" s="330"/>
      <c r="B34" s="737"/>
      <c r="C34" s="738"/>
      <c r="D34" s="738"/>
      <c r="E34" s="738"/>
      <c r="F34" s="331"/>
      <c r="G34" s="355"/>
      <c r="H34" s="345"/>
    </row>
    <row r="35" spans="1:8" ht="27.75">
      <c r="A35" s="330"/>
      <c r="B35" s="373"/>
      <c r="C35" s="341"/>
      <c r="D35" s="739" t="s">
        <v>762</v>
      </c>
      <c r="E35" s="739"/>
      <c r="F35" s="330"/>
      <c r="G35" s="366"/>
      <c r="H35" s="339"/>
    </row>
    <row r="36" spans="1:8">
      <c r="A36" s="330"/>
      <c r="B36" s="356"/>
      <c r="G36" s="357"/>
    </row>
    <row r="37" spans="1:8">
      <c r="A37" s="330"/>
      <c r="B37" s="373"/>
      <c r="C37" s="341"/>
      <c r="D37" s="733"/>
      <c r="E37" s="733"/>
      <c r="F37" s="332"/>
      <c r="G37" s="365"/>
      <c r="H37" s="339"/>
    </row>
    <row r="38" spans="1:8">
      <c r="A38" s="330"/>
      <c r="B38" s="356"/>
      <c r="D38" s="733" t="s">
        <v>801</v>
      </c>
      <c r="E38" s="733"/>
      <c r="G38" s="357"/>
    </row>
    <row r="39" spans="1:8" ht="15.75" customHeight="1">
      <c r="A39" s="330"/>
      <c r="B39" s="730"/>
      <c r="C39" s="731"/>
      <c r="D39" s="731"/>
      <c r="E39" s="338"/>
      <c r="F39" s="338"/>
      <c r="G39" s="361"/>
      <c r="H39" s="331"/>
    </row>
    <row r="40" spans="1:8">
      <c r="A40" s="330"/>
      <c r="B40" s="730"/>
      <c r="C40" s="731"/>
      <c r="D40" s="731"/>
      <c r="E40" s="338"/>
      <c r="F40" s="338"/>
      <c r="G40" s="361"/>
      <c r="H40" s="331"/>
    </row>
    <row r="41" spans="1:8" ht="36" customHeight="1">
      <c r="A41" s="330"/>
      <c r="B41" s="356"/>
      <c r="D41" s="732" t="s">
        <v>806</v>
      </c>
      <c r="E41" s="732"/>
      <c r="F41" s="338"/>
      <c r="G41" s="361"/>
    </row>
    <row r="42" spans="1:8">
      <c r="A42" s="330"/>
      <c r="B42" s="354"/>
      <c r="C42" s="331"/>
      <c r="D42" s="331"/>
      <c r="E42" s="338"/>
      <c r="F42" s="338"/>
      <c r="G42" s="361"/>
      <c r="H42" s="331"/>
    </row>
    <row r="43" spans="1:8">
      <c r="A43" s="330"/>
      <c r="B43" s="354"/>
      <c r="C43" s="331"/>
      <c r="D43" s="733" t="s">
        <v>802</v>
      </c>
      <c r="E43" s="733"/>
      <c r="F43" s="338"/>
      <c r="G43" s="361"/>
      <c r="H43" s="331"/>
    </row>
    <row r="44" spans="1:8">
      <c r="A44" s="330"/>
      <c r="B44" s="354"/>
      <c r="C44" s="331"/>
      <c r="D44" s="734" t="s">
        <v>807</v>
      </c>
      <c r="E44" s="734"/>
      <c r="F44" s="338"/>
      <c r="G44" s="361"/>
      <c r="H44" s="331"/>
    </row>
    <row r="45" spans="1:8" ht="15.75" customHeight="1">
      <c r="A45" s="330"/>
      <c r="B45" s="735"/>
      <c r="C45" s="736"/>
      <c r="D45" s="736"/>
      <c r="E45" s="338"/>
      <c r="F45" s="338"/>
      <c r="G45" s="361"/>
    </row>
    <row r="46" spans="1:8">
      <c r="A46" s="330"/>
      <c r="B46" s="735"/>
      <c r="C46" s="736"/>
      <c r="D46" s="736"/>
      <c r="E46" s="338"/>
      <c r="F46" s="338"/>
      <c r="G46" s="361"/>
    </row>
    <row r="47" spans="1:8">
      <c r="A47" s="330"/>
      <c r="B47" s="354"/>
      <c r="C47" s="331"/>
      <c r="E47" s="338"/>
      <c r="F47" s="338"/>
      <c r="G47" s="361"/>
    </row>
    <row r="48" spans="1:8">
      <c r="A48" s="330"/>
      <c r="B48" s="737"/>
      <c r="C48" s="738"/>
      <c r="D48" s="738"/>
      <c r="E48" s="338"/>
      <c r="F48" s="338"/>
      <c r="G48" s="361"/>
      <c r="H48" s="331"/>
    </row>
    <row r="49" spans="1:11">
      <c r="A49" s="330"/>
      <c r="B49" s="356"/>
      <c r="E49" s="338"/>
      <c r="F49" s="338"/>
      <c r="G49" s="361"/>
    </row>
    <row r="50" spans="1:11">
      <c r="A50" s="330"/>
      <c r="B50" s="356"/>
      <c r="E50" s="338"/>
      <c r="F50" s="338"/>
      <c r="G50" s="361"/>
      <c r="K50" t="s">
        <v>795</v>
      </c>
    </row>
    <row r="51" spans="1:11">
      <c r="A51" s="330"/>
      <c r="B51" s="356"/>
      <c r="E51" s="338"/>
      <c r="F51" s="338"/>
      <c r="G51" s="361"/>
      <c r="H51" s="350"/>
      <c r="K51" t="s">
        <v>796</v>
      </c>
    </row>
    <row r="52" spans="1:11">
      <c r="A52" s="330"/>
      <c r="B52" s="356"/>
      <c r="E52" s="338"/>
      <c r="F52" s="338"/>
      <c r="G52" s="361"/>
    </row>
    <row r="53" spans="1:11">
      <c r="A53" s="330"/>
      <c r="B53" s="744"/>
      <c r="C53" s="745"/>
      <c r="D53" s="746"/>
      <c r="E53" s="338"/>
      <c r="F53" s="338"/>
      <c r="G53" s="361"/>
      <c r="H53" s="331"/>
    </row>
    <row r="54" spans="1:11">
      <c r="A54" s="330"/>
      <c r="B54" s="356"/>
      <c r="D54" s="357"/>
      <c r="E54" s="338"/>
      <c r="F54" s="338"/>
      <c r="G54" s="361"/>
    </row>
    <row r="55" spans="1:11">
      <c r="A55" s="330"/>
      <c r="B55" s="356"/>
      <c r="D55" s="367" t="s">
        <v>797</v>
      </c>
      <c r="E55" s="338"/>
      <c r="F55" s="338"/>
      <c r="G55" s="361"/>
    </row>
    <row r="56" spans="1:11">
      <c r="A56" s="330"/>
      <c r="B56" s="356"/>
      <c r="D56" s="357" t="s">
        <v>798</v>
      </c>
      <c r="E56" s="338"/>
      <c r="F56" s="338"/>
      <c r="G56" s="361"/>
      <c r="H56" s="351"/>
    </row>
    <row r="57" spans="1:11">
      <c r="A57" s="330"/>
      <c r="B57" s="354"/>
      <c r="C57" s="331"/>
      <c r="D57" s="355" t="s">
        <v>799</v>
      </c>
      <c r="E57" s="338"/>
      <c r="F57" s="338"/>
      <c r="G57" s="361"/>
      <c r="H57" s="331"/>
    </row>
    <row r="58" spans="1:11">
      <c r="A58" s="330"/>
      <c r="B58" s="354"/>
      <c r="C58" s="331"/>
      <c r="D58" s="355" t="s">
        <v>800</v>
      </c>
      <c r="E58" s="338"/>
      <c r="F58" s="338"/>
      <c r="G58" s="361"/>
      <c r="H58" s="331"/>
    </row>
    <row r="59" spans="1:11">
      <c r="A59" s="330"/>
      <c r="B59" s="354"/>
      <c r="C59" s="331"/>
      <c r="D59" s="355"/>
      <c r="E59" s="338"/>
      <c r="F59" s="338"/>
      <c r="G59" s="361"/>
      <c r="H59" s="331"/>
    </row>
    <row r="60" spans="1:11">
      <c r="A60" s="330"/>
      <c r="B60" s="354"/>
      <c r="C60" s="331"/>
      <c r="D60" s="355"/>
      <c r="E60" s="338"/>
      <c r="F60" s="338"/>
      <c r="G60" s="361"/>
      <c r="H60" s="331"/>
    </row>
    <row r="61" spans="1:11" ht="9.75" customHeight="1">
      <c r="A61" s="330"/>
      <c r="B61" s="368"/>
      <c r="C61" s="369"/>
      <c r="D61" s="370"/>
      <c r="E61" s="371"/>
      <c r="F61" s="371"/>
      <c r="G61" s="372"/>
      <c r="H61" s="331"/>
    </row>
    <row r="62" spans="1:11" ht="15.75" customHeight="1">
      <c r="A62" s="330"/>
      <c r="B62" s="736"/>
      <c r="C62" s="736"/>
      <c r="D62" s="736"/>
      <c r="E62" s="338"/>
      <c r="F62" s="338"/>
      <c r="G62" s="338"/>
      <c r="H62" s="345"/>
    </row>
    <row r="63" spans="1:11">
      <c r="A63" s="330"/>
      <c r="B63" s="736"/>
      <c r="C63" s="736"/>
      <c r="D63" s="736"/>
      <c r="E63" s="338"/>
      <c r="F63" s="338"/>
      <c r="G63" s="338"/>
    </row>
    <row r="64" spans="1:11">
      <c r="A64" s="328"/>
      <c r="B64" s="747"/>
      <c r="C64" s="747"/>
      <c r="D64" s="747"/>
      <c r="E64" s="747"/>
      <c r="F64" s="747"/>
      <c r="G64" s="747"/>
      <c r="H64" s="747"/>
    </row>
    <row r="65" spans="1:8">
      <c r="A65" s="329"/>
      <c r="B65" s="747"/>
      <c r="C65" s="747"/>
      <c r="D65" s="747"/>
      <c r="E65" s="747"/>
      <c r="F65" s="747"/>
      <c r="G65" s="747"/>
      <c r="H65" s="747"/>
    </row>
    <row r="66" spans="1:8" ht="10.5" customHeight="1">
      <c r="A66" s="330"/>
      <c r="B66" s="748"/>
      <c r="C66" s="749"/>
      <c r="D66" s="749"/>
      <c r="E66" s="749"/>
      <c r="F66" s="352"/>
      <c r="G66" s="353"/>
      <c r="H66" s="332"/>
    </row>
    <row r="67" spans="1:8">
      <c r="A67" s="330"/>
      <c r="B67" s="354"/>
      <c r="C67" s="331"/>
      <c r="D67" s="331"/>
      <c r="E67" s="331"/>
      <c r="F67" s="331"/>
      <c r="G67" s="355"/>
      <c r="H67" s="331"/>
    </row>
    <row r="68" spans="1:8">
      <c r="A68" s="330"/>
      <c r="B68" s="354"/>
      <c r="C68" s="331"/>
      <c r="D68" s="331"/>
      <c r="E68" s="331"/>
      <c r="F68" s="331"/>
      <c r="G68" s="355"/>
      <c r="H68" s="331"/>
    </row>
    <row r="69" spans="1:8">
      <c r="A69" s="330"/>
      <c r="B69" s="737"/>
      <c r="C69" s="738"/>
      <c r="D69" s="738"/>
      <c r="E69" s="738"/>
      <c r="F69" s="331"/>
      <c r="G69" s="355"/>
      <c r="H69" s="331"/>
    </row>
    <row r="70" spans="1:8">
      <c r="A70" s="330"/>
      <c r="B70" s="354"/>
      <c r="C70" s="331"/>
      <c r="D70" s="331"/>
      <c r="E70" s="331"/>
      <c r="F70" s="331"/>
      <c r="G70" s="355"/>
      <c r="H70" s="331"/>
    </row>
    <row r="71" spans="1:8">
      <c r="A71" s="330"/>
      <c r="B71" s="354"/>
      <c r="C71" s="331"/>
      <c r="D71" s="331"/>
      <c r="E71" s="331"/>
      <c r="F71" s="331"/>
      <c r="G71" s="355"/>
      <c r="H71" s="331"/>
    </row>
    <row r="72" spans="1:8">
      <c r="A72" s="330"/>
      <c r="B72" s="354"/>
      <c r="C72" s="331"/>
      <c r="D72" s="331"/>
      <c r="E72" s="331"/>
      <c r="F72" s="331"/>
      <c r="G72" s="355"/>
      <c r="H72" s="331"/>
    </row>
    <row r="73" spans="1:8" ht="30">
      <c r="A73" s="330"/>
      <c r="B73" s="356"/>
      <c r="D73" s="1080" t="s">
        <v>1526</v>
      </c>
      <c r="E73" s="1080"/>
      <c r="F73" s="331"/>
      <c r="G73" s="355"/>
      <c r="H73" s="331"/>
    </row>
    <row r="74" spans="1:8">
      <c r="A74" s="330"/>
      <c r="B74" s="354"/>
      <c r="C74" s="331"/>
      <c r="D74" s="332"/>
      <c r="E74" s="332"/>
      <c r="F74" s="331"/>
      <c r="G74" s="355"/>
      <c r="H74" s="331"/>
    </row>
    <row r="75" spans="1:8">
      <c r="A75" s="330"/>
      <c r="B75" s="354"/>
      <c r="C75" s="331"/>
      <c r="D75" s="332"/>
      <c r="E75" s="332"/>
      <c r="F75" s="331"/>
      <c r="G75" s="355"/>
      <c r="H75" s="331"/>
    </row>
    <row r="76" spans="1:8" ht="26.25">
      <c r="A76" s="330"/>
      <c r="B76" s="354"/>
      <c r="C76" s="331"/>
      <c r="D76" s="763" t="s">
        <v>794</v>
      </c>
      <c r="E76" s="763"/>
      <c r="F76" s="331"/>
      <c r="G76" s="355"/>
      <c r="H76" s="331"/>
    </row>
    <row r="77" spans="1:8">
      <c r="A77" s="330"/>
      <c r="B77" s="354"/>
      <c r="C77" s="331"/>
      <c r="D77" s="332"/>
      <c r="E77" s="332"/>
      <c r="F77" s="331"/>
      <c r="G77" s="355"/>
      <c r="H77" s="331"/>
    </row>
    <row r="78" spans="1:8">
      <c r="A78" s="330"/>
      <c r="B78" s="354"/>
      <c r="C78" s="331"/>
      <c r="D78" s="332"/>
      <c r="E78" s="332"/>
      <c r="F78" s="331"/>
      <c r="G78" s="355"/>
      <c r="H78" s="331"/>
    </row>
    <row r="79" spans="1:8" ht="7.5" customHeight="1">
      <c r="A79" s="330"/>
      <c r="B79" s="354"/>
      <c r="C79" s="331"/>
      <c r="D79" s="332"/>
      <c r="E79" s="332"/>
      <c r="F79" s="331"/>
      <c r="G79" s="355"/>
      <c r="H79" s="331"/>
    </row>
    <row r="80" spans="1:8" ht="27.75">
      <c r="A80" s="330"/>
      <c r="B80" s="356"/>
      <c r="D80" s="1081" t="s">
        <v>377</v>
      </c>
      <c r="E80" s="1081"/>
      <c r="F80" s="331"/>
      <c r="G80" s="355"/>
      <c r="H80" s="331"/>
    </row>
    <row r="81" spans="1:8">
      <c r="A81" s="330"/>
      <c r="B81" s="354"/>
      <c r="C81" s="331"/>
      <c r="D81" s="332"/>
      <c r="E81" s="332"/>
      <c r="F81" s="331"/>
      <c r="G81" s="355"/>
      <c r="H81" s="331"/>
    </row>
    <row r="82" spans="1:8">
      <c r="A82" s="330"/>
      <c r="B82" s="354"/>
      <c r="C82" s="331"/>
      <c r="D82" s="331"/>
      <c r="E82" s="331"/>
      <c r="F82" s="331"/>
      <c r="G82" s="355"/>
      <c r="H82" s="333"/>
    </row>
    <row r="83" spans="1:8">
      <c r="A83" s="330"/>
      <c r="B83" s="354"/>
      <c r="C83" s="331"/>
      <c r="D83" s="331"/>
      <c r="E83" s="331"/>
      <c r="F83" s="331"/>
      <c r="G83" s="355"/>
      <c r="H83" s="333"/>
    </row>
    <row r="84" spans="1:8">
      <c r="A84" s="330"/>
      <c r="B84" s="354"/>
      <c r="C84" s="331"/>
      <c r="D84" s="331"/>
      <c r="E84" s="331"/>
      <c r="F84" s="331"/>
      <c r="G84" s="355"/>
      <c r="H84" s="333"/>
    </row>
    <row r="85" spans="1:8">
      <c r="A85" s="330"/>
      <c r="B85" s="354"/>
      <c r="C85" s="331"/>
      <c r="D85" s="331"/>
      <c r="E85" s="331"/>
      <c r="F85" s="331"/>
      <c r="G85" s="355"/>
      <c r="H85" s="333"/>
    </row>
    <row r="86" spans="1:8">
      <c r="A86" s="330"/>
      <c r="B86" s="356"/>
      <c r="G86" s="357"/>
      <c r="H86" s="333"/>
    </row>
    <row r="87" spans="1:8" ht="15.75" customHeight="1">
      <c r="A87" s="337"/>
      <c r="B87" s="752"/>
      <c r="C87" s="753"/>
      <c r="D87" s="753"/>
      <c r="E87" s="753"/>
      <c r="F87" s="358"/>
      <c r="G87" s="359"/>
      <c r="H87" s="360"/>
    </row>
    <row r="88" spans="1:8">
      <c r="A88" s="330"/>
      <c r="B88" s="356"/>
      <c r="G88" s="357"/>
    </row>
    <row r="89" spans="1:8">
      <c r="A89" s="330"/>
      <c r="B89" s="354"/>
      <c r="C89" s="331"/>
      <c r="D89" s="331"/>
      <c r="E89" s="338"/>
      <c r="F89" s="338"/>
      <c r="G89" s="361"/>
      <c r="H89" s="339"/>
    </row>
    <row r="90" spans="1:8" ht="15.75" customHeight="1">
      <c r="A90" s="330"/>
      <c r="B90" s="730"/>
      <c r="C90" s="731"/>
      <c r="D90" s="731"/>
      <c r="E90" s="731"/>
      <c r="F90" s="343"/>
      <c r="G90" s="362"/>
      <c r="H90" s="743"/>
    </row>
    <row r="91" spans="1:8">
      <c r="A91" s="330"/>
      <c r="B91" s="730"/>
      <c r="C91" s="731"/>
      <c r="D91" s="731"/>
      <c r="E91" s="731"/>
      <c r="F91" s="343"/>
      <c r="G91" s="362"/>
      <c r="H91" s="743"/>
    </row>
    <row r="92" spans="1:8">
      <c r="A92" s="330"/>
      <c r="B92" s="363"/>
      <c r="C92" s="343"/>
      <c r="D92" s="343"/>
      <c r="E92" s="343"/>
      <c r="F92" s="343"/>
      <c r="G92" s="362"/>
      <c r="H92" s="344"/>
    </row>
    <row r="93" spans="1:8">
      <c r="A93" s="330"/>
      <c r="B93" s="364"/>
      <c r="C93" s="332"/>
      <c r="D93" s="332"/>
      <c r="E93" s="332"/>
      <c r="F93" s="332"/>
      <c r="G93" s="365"/>
      <c r="H93" s="332"/>
    </row>
    <row r="94" spans="1:8">
      <c r="A94" s="330"/>
      <c r="B94" s="737"/>
      <c r="C94" s="738"/>
      <c r="D94" s="738"/>
      <c r="E94" s="738"/>
      <c r="F94" s="331"/>
      <c r="G94" s="355"/>
      <c r="H94" s="345"/>
    </row>
    <row r="95" spans="1:8" ht="15.75" hidden="1" customHeight="1">
      <c r="A95" s="330"/>
      <c r="B95" s="737" t="s">
        <v>774</v>
      </c>
      <c r="C95" s="738"/>
      <c r="D95" s="738"/>
      <c r="E95" s="738"/>
      <c r="F95" s="331"/>
      <c r="G95" s="355"/>
      <c r="H95" s="345" t="s">
        <v>770</v>
      </c>
    </row>
    <row r="96" spans="1:8" hidden="1">
      <c r="A96" s="330"/>
      <c r="B96" s="354" t="s">
        <v>775</v>
      </c>
      <c r="C96" s="331"/>
      <c r="D96" s="331"/>
      <c r="E96" s="331"/>
      <c r="F96" s="331"/>
      <c r="G96" s="355"/>
      <c r="H96" s="345" t="s">
        <v>770</v>
      </c>
    </row>
    <row r="97" spans="1:8">
      <c r="A97" s="330"/>
      <c r="B97" s="737"/>
      <c r="C97" s="738"/>
      <c r="D97" s="738"/>
      <c r="E97" s="738"/>
      <c r="F97" s="331"/>
      <c r="G97" s="355"/>
      <c r="H97" s="345"/>
    </row>
    <row r="98" spans="1:8" ht="27.75">
      <c r="A98" s="330"/>
      <c r="B98" s="373"/>
      <c r="C98" s="341"/>
      <c r="D98" s="739" t="s">
        <v>762</v>
      </c>
      <c r="E98" s="739"/>
      <c r="F98" s="330"/>
      <c r="G98" s="366"/>
      <c r="H98" s="339"/>
    </row>
    <row r="99" spans="1:8">
      <c r="A99" s="330"/>
      <c r="B99" s="356"/>
      <c r="G99" s="357"/>
    </row>
    <row r="100" spans="1:8">
      <c r="A100" s="330"/>
      <c r="B100" s="373"/>
      <c r="C100" s="341"/>
      <c r="D100" s="733"/>
      <c r="E100" s="733"/>
      <c r="F100" s="332"/>
      <c r="G100" s="365"/>
      <c r="H100" s="339"/>
    </row>
    <row r="101" spans="1:8">
      <c r="A101" s="330"/>
      <c r="B101" s="356"/>
      <c r="D101" s="733" t="s">
        <v>801</v>
      </c>
      <c r="E101" s="733"/>
      <c r="G101" s="357"/>
    </row>
    <row r="102" spans="1:8" ht="15.75" customHeight="1">
      <c r="A102" s="330"/>
      <c r="B102" s="730"/>
      <c r="C102" s="731"/>
      <c r="D102" s="731"/>
      <c r="E102" s="338"/>
      <c r="F102" s="338"/>
      <c r="G102" s="361"/>
      <c r="H102" s="331"/>
    </row>
    <row r="103" spans="1:8">
      <c r="A103" s="330"/>
      <c r="B103" s="730"/>
      <c r="C103" s="731"/>
      <c r="D103" s="731"/>
      <c r="E103" s="338"/>
      <c r="F103" s="338"/>
      <c r="G103" s="361"/>
      <c r="H103" s="331"/>
    </row>
    <row r="104" spans="1:8" ht="36" customHeight="1">
      <c r="A104" s="330"/>
      <c r="B104" s="356"/>
      <c r="D104" s="732" t="s">
        <v>806</v>
      </c>
      <c r="E104" s="732"/>
      <c r="F104" s="338"/>
      <c r="G104" s="361"/>
    </row>
    <row r="105" spans="1:8">
      <c r="A105" s="330"/>
      <c r="B105" s="354"/>
      <c r="C105" s="331"/>
      <c r="D105" s="331"/>
      <c r="E105" s="338"/>
      <c r="F105" s="338"/>
      <c r="G105" s="361"/>
      <c r="H105" s="331"/>
    </row>
    <row r="106" spans="1:8">
      <c r="A106" s="330"/>
      <c r="B106" s="354"/>
      <c r="C106" s="331"/>
      <c r="D106" s="733" t="s">
        <v>802</v>
      </c>
      <c r="E106" s="733"/>
      <c r="F106" s="338"/>
      <c r="G106" s="361"/>
      <c r="H106" s="331"/>
    </row>
    <row r="107" spans="1:8">
      <c r="A107" s="330"/>
      <c r="B107" s="354"/>
      <c r="C107" s="331"/>
      <c r="D107" s="734" t="s">
        <v>807</v>
      </c>
      <c r="E107" s="734"/>
      <c r="F107" s="338"/>
      <c r="G107" s="361"/>
      <c r="H107" s="331"/>
    </row>
    <row r="108" spans="1:8" ht="15.75" customHeight="1">
      <c r="A108" s="330"/>
      <c r="B108" s="735"/>
      <c r="C108" s="736"/>
      <c r="D108" s="736"/>
      <c r="E108" s="338"/>
      <c r="F108" s="338"/>
      <c r="G108" s="361"/>
    </row>
    <row r="109" spans="1:8">
      <c r="A109" s="330"/>
      <c r="B109" s="735"/>
      <c r="C109" s="736"/>
      <c r="D109" s="736"/>
      <c r="E109" s="338"/>
      <c r="F109" s="338"/>
      <c r="G109" s="361"/>
    </row>
    <row r="110" spans="1:8">
      <c r="A110" s="330"/>
      <c r="B110" s="354"/>
      <c r="C110" s="331"/>
      <c r="E110" s="338"/>
      <c r="F110" s="338"/>
      <c r="G110" s="361"/>
    </row>
    <row r="111" spans="1:8">
      <c r="A111" s="330"/>
      <c r="B111" s="737"/>
      <c r="C111" s="738"/>
      <c r="D111" s="738"/>
      <c r="E111" s="338"/>
      <c r="F111" s="338"/>
      <c r="G111" s="361"/>
      <c r="H111" s="331"/>
    </row>
    <row r="112" spans="1:8">
      <c r="A112" s="330"/>
      <c r="B112" s="356"/>
      <c r="E112" s="338"/>
      <c r="F112" s="338"/>
      <c r="G112" s="361"/>
    </row>
    <row r="113" spans="1:11">
      <c r="A113" s="330"/>
      <c r="B113" s="356"/>
      <c r="E113" s="338"/>
      <c r="F113" s="338"/>
      <c r="G113" s="361"/>
      <c r="K113" t="s">
        <v>795</v>
      </c>
    </row>
    <row r="114" spans="1:11">
      <c r="A114" s="330"/>
      <c r="B114" s="356"/>
      <c r="E114" s="338"/>
      <c r="F114" s="338"/>
      <c r="G114" s="361"/>
      <c r="H114" s="350"/>
      <c r="K114" t="s">
        <v>796</v>
      </c>
    </row>
    <row r="115" spans="1:11">
      <c r="A115" s="330"/>
      <c r="B115" s="356"/>
      <c r="E115" s="338"/>
      <c r="F115" s="338"/>
      <c r="G115" s="361"/>
    </row>
    <row r="116" spans="1:11">
      <c r="A116" s="330"/>
      <c r="B116" s="744"/>
      <c r="C116" s="745"/>
      <c r="D116" s="746"/>
      <c r="E116" s="338"/>
      <c r="F116" s="338"/>
      <c r="G116" s="361"/>
      <c r="H116" s="331"/>
    </row>
    <row r="117" spans="1:11">
      <c r="A117" s="330"/>
      <c r="B117" s="356"/>
      <c r="D117" s="357"/>
      <c r="E117" s="338"/>
      <c r="F117" s="338"/>
      <c r="G117" s="361"/>
    </row>
    <row r="118" spans="1:11">
      <c r="A118" s="330"/>
      <c r="B118" s="356"/>
      <c r="D118" s="367" t="s">
        <v>797</v>
      </c>
      <c r="E118" s="338"/>
      <c r="F118" s="338"/>
      <c r="G118" s="361"/>
    </row>
    <row r="119" spans="1:11">
      <c r="A119" s="330"/>
      <c r="B119" s="356"/>
      <c r="D119" s="357" t="s">
        <v>798</v>
      </c>
      <c r="E119" s="338"/>
      <c r="F119" s="338"/>
      <c r="G119" s="361"/>
      <c r="H119" s="351"/>
    </row>
    <row r="120" spans="1:11">
      <c r="A120" s="330"/>
      <c r="B120" s="354"/>
      <c r="C120" s="331"/>
      <c r="D120" s="355" t="s">
        <v>799</v>
      </c>
      <c r="E120" s="338"/>
      <c r="F120" s="338"/>
      <c r="G120" s="361"/>
      <c r="H120" s="331"/>
    </row>
    <row r="121" spans="1:11">
      <c r="A121" s="330"/>
      <c r="B121" s="354"/>
      <c r="C121" s="331"/>
      <c r="D121" s="355" t="s">
        <v>800</v>
      </c>
      <c r="E121" s="338"/>
      <c r="F121" s="338"/>
      <c r="G121" s="361"/>
      <c r="H121" s="331"/>
    </row>
    <row r="122" spans="1:11">
      <c r="A122" s="330"/>
      <c r="B122" s="354"/>
      <c r="C122" s="331"/>
      <c r="D122" s="355"/>
      <c r="E122" s="338"/>
      <c r="F122" s="338"/>
      <c r="G122" s="361"/>
      <c r="H122" s="331"/>
    </row>
    <row r="123" spans="1:11">
      <c r="A123" s="330"/>
      <c r="B123" s="354"/>
      <c r="C123" s="331"/>
      <c r="D123" s="355"/>
      <c r="E123" s="338"/>
      <c r="F123" s="338"/>
      <c r="G123" s="361"/>
      <c r="H123" s="331"/>
    </row>
    <row r="124" spans="1:11" ht="9.75" customHeight="1">
      <c r="A124" s="330"/>
      <c r="B124" s="368"/>
      <c r="C124" s="369"/>
      <c r="D124" s="370"/>
      <c r="E124" s="371"/>
      <c r="F124" s="371"/>
      <c r="G124" s="372"/>
      <c r="H124" s="331"/>
    </row>
    <row r="125" spans="1:11" ht="15.75" customHeight="1">
      <c r="A125" s="330"/>
      <c r="B125" s="736"/>
      <c r="C125" s="736"/>
      <c r="D125" s="736"/>
      <c r="E125" s="338"/>
      <c r="F125" s="338"/>
      <c r="G125" s="338"/>
      <c r="H125" s="345"/>
    </row>
    <row r="126" spans="1:11">
      <c r="A126" s="330"/>
      <c r="B126" s="736"/>
      <c r="C126" s="736"/>
      <c r="D126" s="736"/>
      <c r="E126" s="338"/>
      <c r="F126" s="338"/>
      <c r="G126" s="338"/>
    </row>
    <row r="127" spans="1:11">
      <c r="A127" s="328"/>
      <c r="B127" s="747"/>
      <c r="C127" s="747"/>
      <c r="D127" s="747"/>
      <c r="E127" s="747"/>
      <c r="F127" s="747"/>
      <c r="G127" s="747"/>
      <c r="H127" s="747"/>
    </row>
    <row r="128" spans="1:11">
      <c r="A128" s="329"/>
      <c r="B128" s="747"/>
      <c r="C128" s="747"/>
      <c r="D128" s="747"/>
      <c r="E128" s="747"/>
      <c r="F128" s="747"/>
      <c r="G128" s="747"/>
      <c r="H128" s="747"/>
    </row>
    <row r="129" spans="1:8" ht="10.5" customHeight="1">
      <c r="A129" s="330"/>
      <c r="B129" s="748"/>
      <c r="C129" s="749"/>
      <c r="D129" s="749"/>
      <c r="E129" s="749"/>
      <c r="F129" s="352"/>
      <c r="G129" s="353"/>
      <c r="H129" s="332"/>
    </row>
    <row r="130" spans="1:8">
      <c r="A130" s="330"/>
      <c r="B130" s="354"/>
      <c r="C130" s="331"/>
      <c r="D130" s="331"/>
      <c r="E130" s="331"/>
      <c r="F130" s="331"/>
      <c r="G130" s="355"/>
      <c r="H130" s="331"/>
    </row>
    <row r="131" spans="1:8">
      <c r="A131" s="330"/>
      <c r="B131" s="354"/>
      <c r="C131" s="331"/>
      <c r="D131" s="331"/>
      <c r="E131" s="331"/>
      <c r="F131" s="331"/>
      <c r="G131" s="355"/>
      <c r="H131" s="331"/>
    </row>
    <row r="132" spans="1:8">
      <c r="A132" s="330"/>
      <c r="B132" s="737"/>
      <c r="C132" s="738"/>
      <c r="D132" s="738"/>
      <c r="E132" s="738"/>
      <c r="F132" s="331"/>
      <c r="G132" s="355"/>
      <c r="H132" s="331"/>
    </row>
    <row r="133" spans="1:8">
      <c r="A133" s="330"/>
      <c r="B133" s="354"/>
      <c r="C133" s="331"/>
      <c r="D133" s="331"/>
      <c r="E133" s="331"/>
      <c r="F133" s="331"/>
      <c r="G133" s="355"/>
      <c r="H133" s="331"/>
    </row>
    <row r="134" spans="1:8">
      <c r="A134" s="330"/>
      <c r="B134" s="354"/>
      <c r="C134" s="331"/>
      <c r="D134" s="331"/>
      <c r="E134" s="331"/>
      <c r="F134" s="331"/>
      <c r="G134" s="355"/>
      <c r="H134" s="331"/>
    </row>
    <row r="135" spans="1:8">
      <c r="A135" s="330"/>
      <c r="B135" s="354"/>
      <c r="C135" s="331"/>
      <c r="D135" s="331"/>
      <c r="E135" s="331"/>
      <c r="F135" s="331"/>
      <c r="G135" s="355"/>
      <c r="H135" s="331"/>
    </row>
    <row r="136" spans="1:8" ht="30">
      <c r="A136" s="330"/>
      <c r="B136" s="356"/>
      <c r="D136" s="1080" t="s">
        <v>1526</v>
      </c>
      <c r="E136" s="1080"/>
      <c r="F136" s="331"/>
      <c r="G136" s="355"/>
      <c r="H136" s="331"/>
    </row>
    <row r="137" spans="1:8">
      <c r="A137" s="330"/>
      <c r="B137" s="354"/>
      <c r="C137" s="331"/>
      <c r="D137" s="332"/>
      <c r="E137" s="332"/>
      <c r="F137" s="331"/>
      <c r="G137" s="355"/>
      <c r="H137" s="331"/>
    </row>
    <row r="138" spans="1:8">
      <c r="A138" s="330"/>
      <c r="B138" s="354"/>
      <c r="C138" s="331"/>
      <c r="D138" s="332"/>
      <c r="E138" s="332"/>
      <c r="F138" s="331"/>
      <c r="G138" s="355"/>
      <c r="H138" s="331"/>
    </row>
    <row r="139" spans="1:8" ht="26.25">
      <c r="A139" s="330"/>
      <c r="B139" s="354"/>
      <c r="C139" s="331"/>
      <c r="D139" s="763" t="s">
        <v>794</v>
      </c>
      <c r="E139" s="763"/>
      <c r="F139" s="331"/>
      <c r="G139" s="355"/>
      <c r="H139" s="331"/>
    </row>
    <row r="140" spans="1:8">
      <c r="A140" s="330"/>
      <c r="B140" s="354"/>
      <c r="C140" s="331"/>
      <c r="D140" s="332"/>
      <c r="E140" s="332"/>
      <c r="F140" s="331"/>
      <c r="G140" s="355"/>
      <c r="H140" s="331"/>
    </row>
    <row r="141" spans="1:8">
      <c r="A141" s="330"/>
      <c r="B141" s="354"/>
      <c r="C141" s="331"/>
      <c r="D141" s="332"/>
      <c r="E141" s="332"/>
      <c r="F141" s="331"/>
      <c r="G141" s="355"/>
      <c r="H141" s="331"/>
    </row>
    <row r="142" spans="1:8" ht="7.5" customHeight="1">
      <c r="A142" s="330"/>
      <c r="B142" s="354"/>
      <c r="C142" s="331"/>
      <c r="D142" s="332"/>
      <c r="E142" s="332"/>
      <c r="F142" s="331"/>
      <c r="G142" s="355"/>
      <c r="H142" s="331"/>
    </row>
    <row r="143" spans="1:8" ht="27.75">
      <c r="A143" s="330"/>
      <c r="B143" s="356"/>
      <c r="D143" s="1081" t="s">
        <v>378</v>
      </c>
      <c r="E143" s="1081"/>
      <c r="F143" s="331"/>
      <c r="G143" s="355"/>
      <c r="H143" s="331"/>
    </row>
    <row r="144" spans="1:8">
      <c r="A144" s="330"/>
      <c r="B144" s="354"/>
      <c r="C144" s="331"/>
      <c r="D144" s="332"/>
      <c r="E144" s="332"/>
      <c r="F144" s="331"/>
      <c r="G144" s="355"/>
      <c r="H144" s="331"/>
    </row>
    <row r="145" spans="1:8">
      <c r="A145" s="330"/>
      <c r="B145" s="354"/>
      <c r="C145" s="331"/>
      <c r="D145" s="331"/>
      <c r="E145" s="331"/>
      <c r="F145" s="331"/>
      <c r="G145" s="355"/>
      <c r="H145" s="333"/>
    </row>
    <row r="146" spans="1:8">
      <c r="A146" s="330"/>
      <c r="B146" s="354"/>
      <c r="C146" s="331"/>
      <c r="D146" s="331"/>
      <c r="E146" s="331"/>
      <c r="F146" s="331"/>
      <c r="G146" s="355"/>
      <c r="H146" s="333"/>
    </row>
    <row r="147" spans="1:8">
      <c r="A147" s="330"/>
      <c r="B147" s="354"/>
      <c r="C147" s="331"/>
      <c r="D147" s="331"/>
      <c r="E147" s="331"/>
      <c r="F147" s="331"/>
      <c r="G147" s="355"/>
      <c r="H147" s="333"/>
    </row>
    <row r="148" spans="1:8">
      <c r="A148" s="330"/>
      <c r="B148" s="354"/>
      <c r="C148" s="331"/>
      <c r="D148" s="331"/>
      <c r="E148" s="331"/>
      <c r="F148" s="331"/>
      <c r="G148" s="355"/>
      <c r="H148" s="333"/>
    </row>
    <row r="149" spans="1:8">
      <c r="A149" s="330"/>
      <c r="B149" s="356"/>
      <c r="G149" s="357"/>
      <c r="H149" s="333"/>
    </row>
    <row r="150" spans="1:8" ht="15.75" customHeight="1">
      <c r="A150" s="337"/>
      <c r="B150" s="752"/>
      <c r="C150" s="753"/>
      <c r="D150" s="753"/>
      <c r="E150" s="753"/>
      <c r="F150" s="358"/>
      <c r="G150" s="359"/>
      <c r="H150" s="360"/>
    </row>
    <row r="151" spans="1:8">
      <c r="A151" s="330"/>
      <c r="B151" s="356"/>
      <c r="G151" s="357"/>
    </row>
    <row r="152" spans="1:8">
      <c r="A152" s="330"/>
      <c r="B152" s="354"/>
      <c r="C152" s="331"/>
      <c r="D152" s="331"/>
      <c r="E152" s="338"/>
      <c r="F152" s="338"/>
      <c r="G152" s="361"/>
      <c r="H152" s="339"/>
    </row>
    <row r="153" spans="1:8" ht="15.75" customHeight="1">
      <c r="A153" s="330"/>
      <c r="B153" s="730"/>
      <c r="C153" s="731"/>
      <c r="D153" s="731"/>
      <c r="E153" s="731"/>
      <c r="F153" s="343"/>
      <c r="G153" s="362"/>
      <c r="H153" s="743"/>
    </row>
    <row r="154" spans="1:8">
      <c r="A154" s="330"/>
      <c r="B154" s="730"/>
      <c r="C154" s="731"/>
      <c r="D154" s="731"/>
      <c r="E154" s="731"/>
      <c r="F154" s="343"/>
      <c r="G154" s="362"/>
      <c r="H154" s="743"/>
    </row>
    <row r="155" spans="1:8">
      <c r="A155" s="330"/>
      <c r="B155" s="363"/>
      <c r="C155" s="343"/>
      <c r="D155" s="343"/>
      <c r="E155" s="343"/>
      <c r="F155" s="343"/>
      <c r="G155" s="362"/>
      <c r="H155" s="344"/>
    </row>
    <row r="156" spans="1:8">
      <c r="A156" s="330"/>
      <c r="B156" s="364"/>
      <c r="C156" s="332"/>
      <c r="D156" s="332"/>
      <c r="E156" s="332"/>
      <c r="F156" s="332"/>
      <c r="G156" s="365"/>
      <c r="H156" s="332"/>
    </row>
    <row r="157" spans="1:8">
      <c r="A157" s="330"/>
      <c r="B157" s="737"/>
      <c r="C157" s="738"/>
      <c r="D157" s="738"/>
      <c r="E157" s="738"/>
      <c r="F157" s="331"/>
      <c r="G157" s="355"/>
      <c r="H157" s="345"/>
    </row>
    <row r="158" spans="1:8" ht="15.75" hidden="1" customHeight="1">
      <c r="A158" s="330"/>
      <c r="B158" s="737" t="s">
        <v>774</v>
      </c>
      <c r="C158" s="738"/>
      <c r="D158" s="738"/>
      <c r="E158" s="738"/>
      <c r="F158" s="331"/>
      <c r="G158" s="355"/>
      <c r="H158" s="345" t="s">
        <v>770</v>
      </c>
    </row>
    <row r="159" spans="1:8" hidden="1">
      <c r="A159" s="330"/>
      <c r="B159" s="354" t="s">
        <v>775</v>
      </c>
      <c r="C159" s="331"/>
      <c r="D159" s="331"/>
      <c r="E159" s="331"/>
      <c r="F159" s="331"/>
      <c r="G159" s="355"/>
      <c r="H159" s="345" t="s">
        <v>770</v>
      </c>
    </row>
    <row r="160" spans="1:8">
      <c r="A160" s="330"/>
      <c r="B160" s="737"/>
      <c r="C160" s="738"/>
      <c r="D160" s="738"/>
      <c r="E160" s="738"/>
      <c r="F160" s="331"/>
      <c r="G160" s="355"/>
      <c r="H160" s="345"/>
    </row>
    <row r="161" spans="1:11" ht="27.75">
      <c r="A161" s="330"/>
      <c r="B161" s="373"/>
      <c r="C161" s="341"/>
      <c r="D161" s="739" t="s">
        <v>762</v>
      </c>
      <c r="E161" s="739"/>
      <c r="F161" s="330"/>
      <c r="G161" s="366"/>
      <c r="H161" s="339"/>
    </row>
    <row r="162" spans="1:11">
      <c r="A162" s="330"/>
      <c r="B162" s="356"/>
      <c r="G162" s="357"/>
    </row>
    <row r="163" spans="1:11">
      <c r="A163" s="330"/>
      <c r="B163" s="373"/>
      <c r="C163" s="341"/>
      <c r="D163" s="733"/>
      <c r="E163" s="733"/>
      <c r="F163" s="332"/>
      <c r="G163" s="365"/>
      <c r="H163" s="339"/>
    </row>
    <row r="164" spans="1:11">
      <c r="A164" s="330"/>
      <c r="B164" s="356"/>
      <c r="D164" s="733" t="s">
        <v>801</v>
      </c>
      <c r="E164" s="733"/>
      <c r="G164" s="357"/>
    </row>
    <row r="165" spans="1:11" ht="15.75" customHeight="1">
      <c r="A165" s="330"/>
      <c r="B165" s="730"/>
      <c r="C165" s="731"/>
      <c r="D165" s="731"/>
      <c r="E165" s="338"/>
      <c r="F165" s="338"/>
      <c r="G165" s="361"/>
      <c r="H165" s="331"/>
    </row>
    <row r="166" spans="1:11">
      <c r="A166" s="330"/>
      <c r="B166" s="730"/>
      <c r="C166" s="731"/>
      <c r="D166" s="731"/>
      <c r="E166" s="338"/>
      <c r="F166" s="338"/>
      <c r="G166" s="361"/>
      <c r="H166" s="331"/>
    </row>
    <row r="167" spans="1:11" ht="36" customHeight="1">
      <c r="A167" s="330"/>
      <c r="B167" s="356"/>
      <c r="D167" s="732" t="s">
        <v>806</v>
      </c>
      <c r="E167" s="732"/>
      <c r="F167" s="338"/>
      <c r="G167" s="361"/>
    </row>
    <row r="168" spans="1:11">
      <c r="A168" s="330"/>
      <c r="B168" s="354"/>
      <c r="C168" s="331"/>
      <c r="D168" s="331"/>
      <c r="E168" s="338"/>
      <c r="F168" s="338"/>
      <c r="G168" s="361"/>
      <c r="H168" s="331"/>
    </row>
    <row r="169" spans="1:11">
      <c r="A169" s="330"/>
      <c r="B169" s="354"/>
      <c r="C169" s="331"/>
      <c r="D169" s="733" t="s">
        <v>802</v>
      </c>
      <c r="E169" s="733"/>
      <c r="F169" s="338"/>
      <c r="G169" s="361"/>
      <c r="H169" s="331"/>
    </row>
    <row r="170" spans="1:11">
      <c r="A170" s="330"/>
      <c r="B170" s="354"/>
      <c r="C170" s="331"/>
      <c r="D170" s="734" t="s">
        <v>807</v>
      </c>
      <c r="E170" s="734"/>
      <c r="F170" s="338"/>
      <c r="G170" s="361"/>
      <c r="H170" s="331"/>
    </row>
    <row r="171" spans="1:11" ht="15.75" customHeight="1">
      <c r="A171" s="330"/>
      <c r="B171" s="735"/>
      <c r="C171" s="736"/>
      <c r="D171" s="736"/>
      <c r="E171" s="338"/>
      <c r="F171" s="338"/>
      <c r="G171" s="361"/>
    </row>
    <row r="172" spans="1:11">
      <c r="A172" s="330"/>
      <c r="B172" s="735"/>
      <c r="C172" s="736"/>
      <c r="D172" s="736"/>
      <c r="E172" s="338"/>
      <c r="F172" s="338"/>
      <c r="G172" s="361"/>
    </row>
    <row r="173" spans="1:11">
      <c r="A173" s="330"/>
      <c r="B173" s="354"/>
      <c r="C173" s="331"/>
      <c r="E173" s="338"/>
      <c r="F173" s="338"/>
      <c r="G173" s="361"/>
    </row>
    <row r="174" spans="1:11">
      <c r="A174" s="330"/>
      <c r="B174" s="737"/>
      <c r="C174" s="738"/>
      <c r="D174" s="738"/>
      <c r="E174" s="338"/>
      <c r="F174" s="338"/>
      <c r="G174" s="361"/>
      <c r="H174" s="331"/>
    </row>
    <row r="175" spans="1:11">
      <c r="A175" s="330"/>
      <c r="B175" s="356"/>
      <c r="E175" s="338"/>
      <c r="F175" s="338"/>
      <c r="G175" s="361"/>
    </row>
    <row r="176" spans="1:11">
      <c r="A176" s="330"/>
      <c r="B176" s="356"/>
      <c r="E176" s="338"/>
      <c r="F176" s="338"/>
      <c r="G176" s="361"/>
      <c r="K176" t="s">
        <v>795</v>
      </c>
    </row>
    <row r="177" spans="1:11">
      <c r="A177" s="330"/>
      <c r="B177" s="356"/>
      <c r="E177" s="338"/>
      <c r="F177" s="338"/>
      <c r="G177" s="361"/>
      <c r="H177" s="350"/>
      <c r="K177" t="s">
        <v>796</v>
      </c>
    </row>
    <row r="178" spans="1:11">
      <c r="A178" s="330"/>
      <c r="B178" s="356"/>
      <c r="E178" s="338"/>
      <c r="F178" s="338"/>
      <c r="G178" s="361"/>
    </row>
    <row r="179" spans="1:11">
      <c r="A179" s="330"/>
      <c r="B179" s="744"/>
      <c r="C179" s="745"/>
      <c r="D179" s="746"/>
      <c r="E179" s="338"/>
      <c r="F179" s="338"/>
      <c r="G179" s="361"/>
      <c r="H179" s="331"/>
    </row>
    <row r="180" spans="1:11">
      <c r="A180" s="330"/>
      <c r="B180" s="356"/>
      <c r="D180" s="357"/>
      <c r="E180" s="338"/>
      <c r="F180" s="338"/>
      <c r="G180" s="361"/>
    </row>
    <row r="181" spans="1:11">
      <c r="A181" s="330"/>
      <c r="B181" s="356"/>
      <c r="D181" s="367" t="s">
        <v>797</v>
      </c>
      <c r="E181" s="338"/>
      <c r="F181" s="338"/>
      <c r="G181" s="361"/>
    </row>
    <row r="182" spans="1:11">
      <c r="A182" s="330"/>
      <c r="B182" s="356"/>
      <c r="D182" s="357" t="s">
        <v>798</v>
      </c>
      <c r="E182" s="338"/>
      <c r="F182" s="338"/>
      <c r="G182" s="361"/>
      <c r="H182" s="351"/>
    </row>
    <row r="183" spans="1:11">
      <c r="A183" s="330"/>
      <c r="B183" s="354"/>
      <c r="C183" s="331"/>
      <c r="D183" s="355" t="s">
        <v>799</v>
      </c>
      <c r="E183" s="338"/>
      <c r="F183" s="338"/>
      <c r="G183" s="361"/>
      <c r="H183" s="331"/>
    </row>
    <row r="184" spans="1:11">
      <c r="A184" s="330"/>
      <c r="B184" s="354"/>
      <c r="C184" s="331"/>
      <c r="D184" s="355" t="s">
        <v>800</v>
      </c>
      <c r="E184" s="338"/>
      <c r="F184" s="338"/>
      <c r="G184" s="361"/>
      <c r="H184" s="331"/>
    </row>
    <row r="185" spans="1:11">
      <c r="A185" s="330"/>
      <c r="B185" s="354"/>
      <c r="C185" s="331"/>
      <c r="D185" s="355"/>
      <c r="E185" s="338"/>
      <c r="F185" s="338"/>
      <c r="G185" s="361"/>
      <c r="H185" s="331"/>
    </row>
    <row r="186" spans="1:11">
      <c r="A186" s="330"/>
      <c r="B186" s="354"/>
      <c r="C186" s="331"/>
      <c r="D186" s="355"/>
      <c r="E186" s="338"/>
      <c r="F186" s="338"/>
      <c r="G186" s="361"/>
      <c r="H186" s="331"/>
    </row>
    <row r="187" spans="1:11" ht="9.75" customHeight="1">
      <c r="A187" s="330"/>
      <c r="B187" s="368"/>
      <c r="C187" s="369"/>
      <c r="D187" s="370"/>
      <c r="E187" s="371"/>
      <c r="F187" s="371"/>
      <c r="G187" s="372"/>
      <c r="H187" s="331"/>
    </row>
    <row r="188" spans="1:11" ht="15.75" customHeight="1">
      <c r="A188" s="330"/>
      <c r="B188" s="736"/>
      <c r="C188" s="736"/>
      <c r="D188" s="736"/>
      <c r="E188" s="338"/>
      <c r="F188" s="338"/>
      <c r="G188" s="338"/>
      <c r="H188" s="345"/>
    </row>
    <row r="189" spans="1:11">
      <c r="A189" s="330"/>
      <c r="B189" s="736"/>
      <c r="C189" s="736"/>
      <c r="D189" s="736"/>
      <c r="E189" s="338"/>
      <c r="F189" s="338"/>
      <c r="G189" s="338"/>
    </row>
    <row r="190" spans="1:11">
      <c r="A190" s="328"/>
      <c r="B190" s="747"/>
      <c r="C190" s="747"/>
      <c r="D190" s="747"/>
      <c r="E190" s="747"/>
      <c r="F190" s="747"/>
      <c r="G190" s="747"/>
      <c r="H190" s="747"/>
    </row>
    <row r="191" spans="1:11">
      <c r="A191" s="329"/>
      <c r="B191" s="747"/>
      <c r="C191" s="747"/>
      <c r="D191" s="747"/>
      <c r="E191" s="747"/>
      <c r="F191" s="747"/>
      <c r="G191" s="747"/>
      <c r="H191" s="747"/>
    </row>
    <row r="192" spans="1:11" ht="10.5" customHeight="1">
      <c r="A192" s="330"/>
      <c r="B192" s="748"/>
      <c r="C192" s="749"/>
      <c r="D192" s="749"/>
      <c r="E192" s="749"/>
      <c r="F192" s="352"/>
      <c r="G192" s="353"/>
      <c r="H192" s="332"/>
    </row>
    <row r="193" spans="1:8">
      <c r="A193" s="330"/>
      <c r="B193" s="354"/>
      <c r="C193" s="331"/>
      <c r="D193" s="331"/>
      <c r="E193" s="331"/>
      <c r="F193" s="331"/>
      <c r="G193" s="355"/>
      <c r="H193" s="331"/>
    </row>
    <row r="194" spans="1:8">
      <c r="A194" s="330"/>
      <c r="B194" s="354"/>
      <c r="C194" s="331"/>
      <c r="D194" s="331"/>
      <c r="E194" s="331"/>
      <c r="F194" s="331"/>
      <c r="G194" s="355"/>
      <c r="H194" s="331"/>
    </row>
    <row r="195" spans="1:8">
      <c r="A195" s="330"/>
      <c r="B195" s="737"/>
      <c r="C195" s="738"/>
      <c r="D195" s="738"/>
      <c r="E195" s="738"/>
      <c r="F195" s="331"/>
      <c r="G195" s="355"/>
      <c r="H195" s="331"/>
    </row>
    <row r="196" spans="1:8">
      <c r="A196" s="330"/>
      <c r="B196" s="354"/>
      <c r="C196" s="331"/>
      <c r="D196" s="331"/>
      <c r="E196" s="331"/>
      <c r="F196" s="331"/>
      <c r="G196" s="355"/>
      <c r="H196" s="331"/>
    </row>
    <row r="197" spans="1:8">
      <c r="A197" s="330"/>
      <c r="B197" s="354"/>
      <c r="C197" s="331"/>
      <c r="D197" s="331"/>
      <c r="E197" s="331"/>
      <c r="F197" s="331"/>
      <c r="G197" s="355"/>
      <c r="H197" s="331"/>
    </row>
    <row r="198" spans="1:8">
      <c r="A198" s="330"/>
      <c r="B198" s="354"/>
      <c r="C198" s="331"/>
      <c r="D198" s="331"/>
      <c r="E198" s="331"/>
      <c r="F198" s="331"/>
      <c r="G198" s="355"/>
      <c r="H198" s="331"/>
    </row>
    <row r="199" spans="1:8" ht="30">
      <c r="A199" s="330"/>
      <c r="B199" s="356"/>
      <c r="D199" s="1080" t="s">
        <v>1526</v>
      </c>
      <c r="E199" s="1080"/>
      <c r="F199" s="331"/>
      <c r="G199" s="355"/>
      <c r="H199" s="331"/>
    </row>
    <row r="200" spans="1:8">
      <c r="A200" s="330"/>
      <c r="B200" s="354"/>
      <c r="C200" s="331"/>
      <c r="D200" s="332"/>
      <c r="E200" s="332"/>
      <c r="F200" s="331"/>
      <c r="G200" s="355"/>
      <c r="H200" s="331"/>
    </row>
    <row r="201" spans="1:8">
      <c r="A201" s="330"/>
      <c r="B201" s="354"/>
      <c r="C201" s="331"/>
      <c r="D201" s="332"/>
      <c r="E201" s="332"/>
      <c r="F201" s="331"/>
      <c r="G201" s="355"/>
      <c r="H201" s="331"/>
    </row>
    <row r="202" spans="1:8" ht="26.25">
      <c r="A202" s="330"/>
      <c r="B202" s="354"/>
      <c r="C202" s="331"/>
      <c r="D202" s="763" t="s">
        <v>794</v>
      </c>
      <c r="E202" s="763"/>
      <c r="F202" s="331"/>
      <c r="G202" s="355"/>
      <c r="H202" s="331"/>
    </row>
    <row r="203" spans="1:8">
      <c r="A203" s="330"/>
      <c r="B203" s="354"/>
      <c r="C203" s="331"/>
      <c r="D203" s="332"/>
      <c r="E203" s="332"/>
      <c r="F203" s="331"/>
      <c r="G203" s="355"/>
      <c r="H203" s="331"/>
    </row>
    <row r="204" spans="1:8" ht="27.75">
      <c r="A204" s="330"/>
      <c r="B204" s="354"/>
      <c r="C204" s="331"/>
      <c r="D204" s="1081" t="s">
        <v>156</v>
      </c>
      <c r="E204" s="1081"/>
      <c r="F204" s="331"/>
      <c r="G204" s="355"/>
      <c r="H204" s="331"/>
    </row>
    <row r="205" spans="1:8" ht="7.5" customHeight="1">
      <c r="A205" s="330"/>
      <c r="B205" s="354"/>
      <c r="C205" s="331"/>
      <c r="D205" s="332"/>
      <c r="E205" s="332"/>
      <c r="F205" s="331"/>
      <c r="G205" s="355"/>
      <c r="H205" s="331"/>
    </row>
    <row r="206" spans="1:8" ht="27.75">
      <c r="A206" s="330"/>
      <c r="B206" s="356"/>
      <c r="D206" s="1081" t="s">
        <v>1527</v>
      </c>
      <c r="E206" s="1081"/>
      <c r="F206" s="331"/>
      <c r="G206" s="355"/>
      <c r="H206" s="331"/>
    </row>
    <row r="207" spans="1:8">
      <c r="A207" s="330"/>
      <c r="B207" s="354"/>
      <c r="C207" s="331"/>
      <c r="D207" s="332"/>
      <c r="E207" s="332"/>
      <c r="F207" s="331"/>
      <c r="G207" s="355"/>
      <c r="H207" s="331"/>
    </row>
    <row r="208" spans="1:8">
      <c r="A208" s="330"/>
      <c r="B208" s="354"/>
      <c r="C208" s="331"/>
      <c r="D208" s="331"/>
      <c r="E208" s="331"/>
      <c r="F208" s="331"/>
      <c r="G208" s="355"/>
      <c r="H208" s="333"/>
    </row>
    <row r="209" spans="1:8">
      <c r="A209" s="330"/>
      <c r="B209" s="354"/>
      <c r="C209" s="331"/>
      <c r="D209" s="331"/>
      <c r="E209" s="331"/>
      <c r="F209" s="331"/>
      <c r="G209" s="355"/>
      <c r="H209" s="333"/>
    </row>
    <row r="210" spans="1:8">
      <c r="A210" s="330"/>
      <c r="B210" s="354"/>
      <c r="C210" s="331"/>
      <c r="D210" s="331"/>
      <c r="E210" s="331"/>
      <c r="F210" s="331"/>
      <c r="G210" s="355"/>
      <c r="H210" s="333"/>
    </row>
    <row r="211" spans="1:8">
      <c r="A211" s="330"/>
      <c r="B211" s="354"/>
      <c r="C211" s="331"/>
      <c r="D211" s="331"/>
      <c r="E211" s="331"/>
      <c r="F211" s="331"/>
      <c r="G211" s="355"/>
      <c r="H211" s="333"/>
    </row>
    <row r="212" spans="1:8">
      <c r="A212" s="330"/>
      <c r="B212" s="356"/>
      <c r="G212" s="357"/>
      <c r="H212" s="333"/>
    </row>
    <row r="213" spans="1:8" ht="15.75" customHeight="1">
      <c r="A213" s="337"/>
      <c r="B213" s="752"/>
      <c r="C213" s="753"/>
      <c r="D213" s="753"/>
      <c r="E213" s="753"/>
      <c r="F213" s="358"/>
      <c r="G213" s="359"/>
      <c r="H213" s="360"/>
    </row>
    <row r="214" spans="1:8">
      <c r="A214" s="330"/>
      <c r="B214" s="356"/>
      <c r="G214" s="357"/>
    </row>
    <row r="215" spans="1:8">
      <c r="A215" s="330"/>
      <c r="B215" s="354"/>
      <c r="C215" s="331"/>
      <c r="D215" s="331"/>
      <c r="E215" s="338"/>
      <c r="F215" s="338"/>
      <c r="G215" s="361"/>
      <c r="H215" s="339"/>
    </row>
    <row r="216" spans="1:8" ht="15.75" customHeight="1">
      <c r="A216" s="330"/>
      <c r="B216" s="730"/>
      <c r="C216" s="731"/>
      <c r="D216" s="731"/>
      <c r="E216" s="731"/>
      <c r="F216" s="343"/>
      <c r="G216" s="362"/>
      <c r="H216" s="743"/>
    </row>
    <row r="217" spans="1:8">
      <c r="A217" s="330"/>
      <c r="B217" s="730"/>
      <c r="C217" s="731"/>
      <c r="D217" s="731"/>
      <c r="E217" s="731"/>
      <c r="F217" s="343"/>
      <c r="G217" s="362"/>
      <c r="H217" s="743"/>
    </row>
    <row r="218" spans="1:8">
      <c r="A218" s="330"/>
      <c r="B218" s="363"/>
      <c r="C218" s="343"/>
      <c r="D218" s="343"/>
      <c r="E218" s="343"/>
      <c r="F218" s="343"/>
      <c r="G218" s="362"/>
      <c r="H218" s="344"/>
    </row>
    <row r="219" spans="1:8">
      <c r="A219" s="330"/>
      <c r="B219" s="364"/>
      <c r="C219" s="332"/>
      <c r="D219" s="332"/>
      <c r="E219" s="332"/>
      <c r="F219" s="332"/>
      <c r="G219" s="365"/>
      <c r="H219" s="332"/>
    </row>
    <row r="220" spans="1:8">
      <c r="A220" s="330"/>
      <c r="B220" s="737"/>
      <c r="C220" s="738"/>
      <c r="D220" s="738"/>
      <c r="E220" s="738"/>
      <c r="F220" s="331"/>
      <c r="G220" s="355"/>
      <c r="H220" s="345"/>
    </row>
    <row r="221" spans="1:8" ht="15.75" hidden="1" customHeight="1">
      <c r="A221" s="330"/>
      <c r="B221" s="737" t="s">
        <v>774</v>
      </c>
      <c r="C221" s="738"/>
      <c r="D221" s="738"/>
      <c r="E221" s="738"/>
      <c r="F221" s="331"/>
      <c r="G221" s="355"/>
      <c r="H221" s="345" t="s">
        <v>770</v>
      </c>
    </row>
    <row r="222" spans="1:8" hidden="1">
      <c r="A222" s="330"/>
      <c r="B222" s="354" t="s">
        <v>775</v>
      </c>
      <c r="C222" s="331"/>
      <c r="D222" s="331"/>
      <c r="E222" s="331"/>
      <c r="F222" s="331"/>
      <c r="G222" s="355"/>
      <c r="H222" s="345" t="s">
        <v>770</v>
      </c>
    </row>
    <row r="223" spans="1:8">
      <c r="A223" s="330"/>
      <c r="B223" s="737"/>
      <c r="C223" s="738"/>
      <c r="D223" s="738"/>
      <c r="E223" s="738"/>
      <c r="F223" s="331"/>
      <c r="G223" s="355"/>
      <c r="H223" s="345"/>
    </row>
    <row r="224" spans="1:8" ht="27.75">
      <c r="A224" s="330"/>
      <c r="B224" s="373"/>
      <c r="C224" s="341"/>
      <c r="D224" s="739" t="s">
        <v>762</v>
      </c>
      <c r="E224" s="739"/>
      <c r="F224" s="330"/>
      <c r="G224" s="366"/>
      <c r="H224" s="339"/>
    </row>
    <row r="225" spans="1:11">
      <c r="A225" s="330"/>
      <c r="B225" s="356"/>
      <c r="G225" s="357"/>
    </row>
    <row r="226" spans="1:11">
      <c r="A226" s="330"/>
      <c r="B226" s="373"/>
      <c r="C226" s="341"/>
      <c r="D226" s="733"/>
      <c r="E226" s="733"/>
      <c r="F226" s="332"/>
      <c r="G226" s="365"/>
      <c r="H226" s="339"/>
    </row>
    <row r="227" spans="1:11">
      <c r="A227" s="330"/>
      <c r="B227" s="356"/>
      <c r="D227" s="733" t="s">
        <v>801</v>
      </c>
      <c r="E227" s="733"/>
      <c r="G227" s="357"/>
    </row>
    <row r="228" spans="1:11" ht="15.75" customHeight="1">
      <c r="A228" s="330"/>
      <c r="B228" s="730"/>
      <c r="C228" s="731"/>
      <c r="D228" s="731"/>
      <c r="E228" s="338"/>
      <c r="F228" s="338"/>
      <c r="G228" s="361"/>
      <c r="H228" s="331"/>
    </row>
    <row r="229" spans="1:11">
      <c r="A229" s="330"/>
      <c r="B229" s="730"/>
      <c r="C229" s="731"/>
      <c r="D229" s="731"/>
      <c r="E229" s="338"/>
      <c r="F229" s="338"/>
      <c r="G229" s="361"/>
      <c r="H229" s="331"/>
    </row>
    <row r="230" spans="1:11" ht="36" customHeight="1">
      <c r="A230" s="330"/>
      <c r="B230" s="356"/>
      <c r="D230" s="732" t="s">
        <v>806</v>
      </c>
      <c r="E230" s="732"/>
      <c r="F230" s="338"/>
      <c r="G230" s="361"/>
    </row>
    <row r="231" spans="1:11">
      <c r="A231" s="330"/>
      <c r="B231" s="354"/>
      <c r="C231" s="331"/>
      <c r="D231" s="331"/>
      <c r="E231" s="338"/>
      <c r="F231" s="338"/>
      <c r="G231" s="361"/>
      <c r="H231" s="331"/>
    </row>
    <row r="232" spans="1:11">
      <c r="A232" s="330"/>
      <c r="B232" s="354"/>
      <c r="C232" s="331"/>
      <c r="D232" s="733" t="s">
        <v>802</v>
      </c>
      <c r="E232" s="733"/>
      <c r="F232" s="338"/>
      <c r="G232" s="361"/>
      <c r="H232" s="331"/>
    </row>
    <row r="233" spans="1:11">
      <c r="A233" s="330"/>
      <c r="B233" s="354"/>
      <c r="C233" s="331"/>
      <c r="D233" s="734" t="s">
        <v>807</v>
      </c>
      <c r="E233" s="734"/>
      <c r="F233" s="338"/>
      <c r="G233" s="361"/>
      <c r="H233" s="331"/>
    </row>
    <row r="234" spans="1:11" ht="15.75" customHeight="1">
      <c r="A234" s="330"/>
      <c r="B234" s="735"/>
      <c r="C234" s="736"/>
      <c r="D234" s="736"/>
      <c r="E234" s="338"/>
      <c r="F234" s="338"/>
      <c r="G234" s="361"/>
    </row>
    <row r="235" spans="1:11">
      <c r="A235" s="330"/>
      <c r="B235" s="735"/>
      <c r="C235" s="736"/>
      <c r="D235" s="736"/>
      <c r="E235" s="338"/>
      <c r="F235" s="338"/>
      <c r="G235" s="361"/>
    </row>
    <row r="236" spans="1:11">
      <c r="A236" s="330"/>
      <c r="B236" s="354"/>
      <c r="C236" s="331"/>
      <c r="E236" s="338"/>
      <c r="F236" s="338"/>
      <c r="G236" s="361"/>
    </row>
    <row r="237" spans="1:11">
      <c r="A237" s="330"/>
      <c r="B237" s="737"/>
      <c r="C237" s="738"/>
      <c r="D237" s="738"/>
      <c r="E237" s="338"/>
      <c r="F237" s="338"/>
      <c r="G237" s="361"/>
      <c r="H237" s="331"/>
    </row>
    <row r="238" spans="1:11">
      <c r="A238" s="330"/>
      <c r="B238" s="356"/>
      <c r="E238" s="338"/>
      <c r="F238" s="338"/>
      <c r="G238" s="361"/>
    </row>
    <row r="239" spans="1:11">
      <c r="A239" s="330"/>
      <c r="B239" s="356"/>
      <c r="E239" s="338"/>
      <c r="F239" s="338"/>
      <c r="G239" s="361"/>
      <c r="K239" t="s">
        <v>795</v>
      </c>
    </row>
    <row r="240" spans="1:11">
      <c r="A240" s="330"/>
      <c r="B240" s="356"/>
      <c r="E240" s="338"/>
      <c r="F240" s="338"/>
      <c r="G240" s="361"/>
      <c r="H240" s="350"/>
      <c r="K240" t="s">
        <v>796</v>
      </c>
    </row>
    <row r="241" spans="1:8">
      <c r="A241" s="330"/>
      <c r="B241" s="356"/>
      <c r="E241" s="338"/>
      <c r="F241" s="338"/>
      <c r="G241" s="361"/>
    </row>
    <row r="242" spans="1:8">
      <c r="A242" s="330"/>
      <c r="B242" s="744"/>
      <c r="C242" s="745"/>
      <c r="D242" s="746"/>
      <c r="E242" s="338"/>
      <c r="F242" s="338"/>
      <c r="G242" s="361"/>
      <c r="H242" s="331"/>
    </row>
    <row r="243" spans="1:8">
      <c r="A243" s="330"/>
      <c r="B243" s="356"/>
      <c r="D243" s="357"/>
      <c r="E243" s="338"/>
      <c r="F243" s="338"/>
      <c r="G243" s="361"/>
    </row>
    <row r="244" spans="1:8">
      <c r="A244" s="330"/>
      <c r="B244" s="356"/>
      <c r="D244" s="367" t="s">
        <v>797</v>
      </c>
      <c r="E244" s="338"/>
      <c r="F244" s="338"/>
      <c r="G244" s="361"/>
    </row>
    <row r="245" spans="1:8">
      <c r="A245" s="330"/>
      <c r="B245" s="356"/>
      <c r="D245" s="357" t="s">
        <v>798</v>
      </c>
      <c r="E245" s="338"/>
      <c r="F245" s="338"/>
      <c r="G245" s="361"/>
      <c r="H245" s="351"/>
    </row>
    <row r="246" spans="1:8">
      <c r="A246" s="330"/>
      <c r="B246" s="354"/>
      <c r="C246" s="331"/>
      <c r="D246" s="355" t="s">
        <v>799</v>
      </c>
      <c r="E246" s="338"/>
      <c r="F246" s="338"/>
      <c r="G246" s="361"/>
      <c r="H246" s="331"/>
    </row>
    <row r="247" spans="1:8">
      <c r="A247" s="330"/>
      <c r="B247" s="354"/>
      <c r="C247" s="331"/>
      <c r="D247" s="355" t="s">
        <v>800</v>
      </c>
      <c r="E247" s="338"/>
      <c r="F247" s="338"/>
      <c r="G247" s="361"/>
      <c r="H247" s="331"/>
    </row>
    <row r="248" spans="1:8">
      <c r="A248" s="330"/>
      <c r="B248" s="354"/>
      <c r="C248" s="331"/>
      <c r="D248" s="355"/>
      <c r="E248" s="338"/>
      <c r="F248" s="338"/>
      <c r="G248" s="361"/>
      <c r="H248" s="331"/>
    </row>
    <row r="249" spans="1:8">
      <c r="A249" s="330"/>
      <c r="B249" s="354"/>
      <c r="C249" s="331"/>
      <c r="D249" s="355"/>
      <c r="E249" s="338"/>
      <c r="F249" s="338"/>
      <c r="G249" s="361"/>
      <c r="H249" s="331"/>
    </row>
    <row r="250" spans="1:8" ht="9.75" customHeight="1">
      <c r="A250" s="330"/>
      <c r="B250" s="368"/>
      <c r="C250" s="369"/>
      <c r="D250" s="370"/>
      <c r="E250" s="371"/>
      <c r="F250" s="371"/>
      <c r="G250" s="372"/>
      <c r="H250" s="331"/>
    </row>
    <row r="251" spans="1:8" ht="15.75" customHeight="1">
      <c r="A251" s="330"/>
      <c r="B251" s="736"/>
      <c r="C251" s="736"/>
      <c r="D251" s="736"/>
      <c r="E251" s="338"/>
      <c r="F251" s="338"/>
      <c r="G251" s="338"/>
      <c r="H251" s="345"/>
    </row>
    <row r="252" spans="1:8">
      <c r="A252" s="330"/>
      <c r="B252" s="736"/>
      <c r="C252" s="736"/>
      <c r="D252" s="736"/>
      <c r="E252" s="338"/>
      <c r="F252" s="338"/>
      <c r="G252" s="338"/>
    </row>
    <row r="253" spans="1:8">
      <c r="A253" s="328"/>
      <c r="B253" s="747"/>
      <c r="C253" s="747"/>
      <c r="D253" s="747"/>
      <c r="E253" s="747"/>
      <c r="F253" s="747"/>
      <c r="G253" s="747"/>
      <c r="H253" s="747"/>
    </row>
    <row r="254" spans="1:8">
      <c r="A254" s="329"/>
      <c r="B254" s="747"/>
      <c r="C254" s="747"/>
      <c r="D254" s="747"/>
      <c r="E254" s="747"/>
      <c r="F254" s="747"/>
      <c r="G254" s="747"/>
      <c r="H254" s="747"/>
    </row>
    <row r="255" spans="1:8" ht="10.5" customHeight="1">
      <c r="A255" s="330"/>
      <c r="B255" s="748"/>
      <c r="C255" s="749"/>
      <c r="D255" s="749"/>
      <c r="E255" s="749"/>
      <c r="F255" s="352"/>
      <c r="G255" s="353"/>
      <c r="H255" s="332"/>
    </row>
    <row r="256" spans="1:8">
      <c r="A256" s="330"/>
      <c r="B256" s="354"/>
      <c r="C256" s="331"/>
      <c r="D256" s="331"/>
      <c r="E256" s="331"/>
      <c r="F256" s="331"/>
      <c r="G256" s="355"/>
      <c r="H256" s="331"/>
    </row>
    <row r="257" spans="1:8">
      <c r="A257" s="330"/>
      <c r="B257" s="354"/>
      <c r="C257" s="331"/>
      <c r="D257" s="331"/>
      <c r="E257" s="331"/>
      <c r="F257" s="331"/>
      <c r="G257" s="355"/>
      <c r="H257" s="331"/>
    </row>
    <row r="258" spans="1:8">
      <c r="A258" s="330"/>
      <c r="B258" s="737"/>
      <c r="C258" s="738"/>
      <c r="D258" s="738"/>
      <c r="E258" s="738"/>
      <c r="F258" s="331"/>
      <c r="G258" s="355"/>
      <c r="H258" s="331"/>
    </row>
    <row r="259" spans="1:8">
      <c r="A259" s="330"/>
      <c r="B259" s="354"/>
      <c r="C259" s="331"/>
      <c r="D259" s="331"/>
      <c r="E259" s="331"/>
      <c r="F259" s="331"/>
      <c r="G259" s="355"/>
      <c r="H259" s="331"/>
    </row>
    <row r="260" spans="1:8">
      <c r="A260" s="330"/>
      <c r="B260" s="354"/>
      <c r="C260" s="331"/>
      <c r="D260" s="331"/>
      <c r="E260" s="331"/>
      <c r="F260" s="331"/>
      <c r="G260" s="355"/>
      <c r="H260" s="331"/>
    </row>
    <row r="261" spans="1:8">
      <c r="A261" s="330"/>
      <c r="B261" s="354"/>
      <c r="C261" s="331"/>
      <c r="D261" s="331"/>
      <c r="E261" s="331"/>
      <c r="F261" s="331"/>
      <c r="G261" s="355"/>
      <c r="H261" s="331"/>
    </row>
    <row r="262" spans="1:8" ht="30">
      <c r="A262" s="330"/>
      <c r="B262" s="356"/>
      <c r="D262" s="1080" t="s">
        <v>1526</v>
      </c>
      <c r="E262" s="1080"/>
      <c r="F262" s="331"/>
      <c r="G262" s="355"/>
      <c r="H262" s="331"/>
    </row>
    <row r="263" spans="1:8">
      <c r="A263" s="330"/>
      <c r="B263" s="354"/>
      <c r="C263" s="331"/>
      <c r="D263" s="332"/>
      <c r="E263" s="332"/>
      <c r="F263" s="331"/>
      <c r="G263" s="355"/>
      <c r="H263" s="331"/>
    </row>
    <row r="264" spans="1:8">
      <c r="A264" s="330"/>
      <c r="B264" s="354"/>
      <c r="C264" s="331"/>
      <c r="D264" s="332"/>
      <c r="E264" s="332"/>
      <c r="F264" s="331"/>
      <c r="G264" s="355"/>
      <c r="H264" s="331"/>
    </row>
    <row r="265" spans="1:8" ht="26.25">
      <c r="A265" s="330"/>
      <c r="B265" s="354"/>
      <c r="C265" s="331"/>
      <c r="D265" s="763" t="s">
        <v>794</v>
      </c>
      <c r="E265" s="763"/>
      <c r="F265" s="331"/>
      <c r="G265" s="355"/>
      <c r="H265" s="331"/>
    </row>
    <row r="266" spans="1:8">
      <c r="A266" s="330"/>
      <c r="B266" s="354"/>
      <c r="C266" s="331"/>
      <c r="D266" s="332"/>
      <c r="E266" s="332"/>
      <c r="F266" s="331"/>
      <c r="G266" s="355"/>
      <c r="H266" s="331"/>
    </row>
    <row r="267" spans="1:8" ht="27.75">
      <c r="A267" s="330"/>
      <c r="B267" s="354"/>
      <c r="C267" s="331"/>
      <c r="D267" s="1081" t="s">
        <v>1528</v>
      </c>
      <c r="E267" s="1081"/>
      <c r="F267" s="331"/>
      <c r="G267" s="355"/>
      <c r="H267" s="331"/>
    </row>
    <row r="268" spans="1:8" ht="7.5" customHeight="1">
      <c r="A268" s="330"/>
      <c r="B268" s="354"/>
      <c r="C268" s="331"/>
      <c r="D268" s="332"/>
      <c r="E268" s="332"/>
      <c r="F268" s="331"/>
      <c r="G268" s="355"/>
      <c r="H268" s="331"/>
    </row>
    <row r="269" spans="1:8" ht="27.75">
      <c r="A269" s="330"/>
      <c r="B269" s="356"/>
      <c r="D269" s="1081" t="s">
        <v>1527</v>
      </c>
      <c r="E269" s="1081"/>
      <c r="F269" s="331"/>
      <c r="G269" s="355"/>
      <c r="H269" s="331"/>
    </row>
    <row r="270" spans="1:8" ht="27.75">
      <c r="A270" s="330"/>
      <c r="B270" s="354"/>
      <c r="C270" s="331"/>
      <c r="D270" s="1081" t="s">
        <v>1944</v>
      </c>
      <c r="E270" s="1081"/>
      <c r="F270" s="331"/>
      <c r="G270" s="355"/>
      <c r="H270" s="331"/>
    </row>
    <row r="271" spans="1:8" ht="27.75">
      <c r="A271" s="330"/>
      <c r="B271" s="354"/>
      <c r="C271" s="331"/>
      <c r="D271" s="1081"/>
      <c r="E271" s="1081"/>
      <c r="F271" s="331"/>
      <c r="G271" s="355"/>
      <c r="H271" s="333"/>
    </row>
    <row r="272" spans="1:8">
      <c r="A272" s="330"/>
      <c r="B272" s="354"/>
      <c r="C272" s="331"/>
      <c r="D272" s="331"/>
      <c r="E272" s="331"/>
      <c r="F272" s="331"/>
      <c r="G272" s="355"/>
      <c r="H272" s="333"/>
    </row>
    <row r="273" spans="1:8">
      <c r="A273" s="330"/>
      <c r="B273" s="354"/>
      <c r="C273" s="331"/>
      <c r="D273" s="331"/>
      <c r="E273" s="331"/>
      <c r="F273" s="331"/>
      <c r="G273" s="355"/>
      <c r="H273" s="333"/>
    </row>
    <row r="274" spans="1:8">
      <c r="A274" s="330"/>
      <c r="B274" s="354"/>
      <c r="C274" s="331"/>
      <c r="D274" s="331"/>
      <c r="E274" s="331"/>
      <c r="F274" s="331"/>
      <c r="G274" s="355"/>
      <c r="H274" s="333"/>
    </row>
    <row r="275" spans="1:8">
      <c r="A275" s="330"/>
      <c r="B275" s="356"/>
      <c r="G275" s="357"/>
      <c r="H275" s="333"/>
    </row>
    <row r="276" spans="1:8" ht="15.75" customHeight="1">
      <c r="A276" s="337"/>
      <c r="B276" s="752"/>
      <c r="C276" s="753"/>
      <c r="D276" s="753"/>
      <c r="E276" s="753"/>
      <c r="F276" s="358"/>
      <c r="G276" s="359"/>
      <c r="H276" s="360"/>
    </row>
    <row r="277" spans="1:8">
      <c r="A277" s="330"/>
      <c r="B277" s="356"/>
      <c r="G277" s="357"/>
    </row>
    <row r="278" spans="1:8">
      <c r="A278" s="330"/>
      <c r="B278" s="354"/>
      <c r="C278" s="331"/>
      <c r="D278" s="331"/>
      <c r="E278" s="338"/>
      <c r="F278" s="338"/>
      <c r="G278" s="361"/>
      <c r="H278" s="339"/>
    </row>
    <row r="279" spans="1:8" ht="15.75" customHeight="1">
      <c r="A279" s="330"/>
      <c r="B279" s="730"/>
      <c r="C279" s="731"/>
      <c r="D279" s="731"/>
      <c r="E279" s="731"/>
      <c r="F279" s="343"/>
      <c r="G279" s="362"/>
      <c r="H279" s="743"/>
    </row>
    <row r="280" spans="1:8">
      <c r="A280" s="330"/>
      <c r="B280" s="730"/>
      <c r="C280" s="731"/>
      <c r="D280" s="731"/>
      <c r="E280" s="731"/>
      <c r="F280" s="343"/>
      <c r="G280" s="362"/>
      <c r="H280" s="743"/>
    </row>
    <row r="281" spans="1:8">
      <c r="A281" s="330"/>
      <c r="B281" s="363"/>
      <c r="C281" s="343"/>
      <c r="D281" s="343"/>
      <c r="E281" s="343"/>
      <c r="F281" s="343"/>
      <c r="G281" s="362"/>
      <c r="H281" s="344"/>
    </row>
    <row r="282" spans="1:8">
      <c r="A282" s="330"/>
      <c r="B282" s="364"/>
      <c r="C282" s="332"/>
      <c r="D282" s="332"/>
      <c r="E282" s="332"/>
      <c r="F282" s="332"/>
      <c r="G282" s="365"/>
      <c r="H282" s="332"/>
    </row>
    <row r="283" spans="1:8">
      <c r="A283" s="330"/>
      <c r="B283" s="737"/>
      <c r="C283" s="738"/>
      <c r="D283" s="738"/>
      <c r="E283" s="738"/>
      <c r="F283" s="331"/>
      <c r="G283" s="355"/>
      <c r="H283" s="345"/>
    </row>
    <row r="284" spans="1:8" ht="15.75" hidden="1" customHeight="1">
      <c r="A284" s="330"/>
      <c r="B284" s="737" t="s">
        <v>774</v>
      </c>
      <c r="C284" s="738"/>
      <c r="D284" s="738"/>
      <c r="E284" s="738"/>
      <c r="F284" s="331"/>
      <c r="G284" s="355"/>
      <c r="H284" s="345" t="s">
        <v>770</v>
      </c>
    </row>
    <row r="285" spans="1:8" hidden="1">
      <c r="A285" s="330"/>
      <c r="B285" s="354" t="s">
        <v>775</v>
      </c>
      <c r="C285" s="331"/>
      <c r="D285" s="331"/>
      <c r="E285" s="331"/>
      <c r="F285" s="331"/>
      <c r="G285" s="355"/>
      <c r="H285" s="345" t="s">
        <v>770</v>
      </c>
    </row>
    <row r="286" spans="1:8">
      <c r="A286" s="330"/>
      <c r="B286" s="737"/>
      <c r="C286" s="738"/>
      <c r="D286" s="738"/>
      <c r="E286" s="738"/>
      <c r="F286" s="331"/>
      <c r="G286" s="355"/>
      <c r="H286" s="345"/>
    </row>
    <row r="287" spans="1:8" ht="27.75">
      <c r="A287" s="330"/>
      <c r="B287" s="373"/>
      <c r="C287" s="341"/>
      <c r="D287" s="739" t="s">
        <v>762</v>
      </c>
      <c r="E287" s="739"/>
      <c r="F287" s="330"/>
      <c r="G287" s="366"/>
      <c r="H287" s="339"/>
    </row>
    <row r="288" spans="1:8">
      <c r="A288" s="330"/>
      <c r="B288" s="356"/>
      <c r="G288" s="357"/>
    </row>
    <row r="289" spans="1:11">
      <c r="A289" s="330"/>
      <c r="B289" s="373"/>
      <c r="C289" s="341"/>
      <c r="D289" s="733"/>
      <c r="E289" s="733"/>
      <c r="F289" s="332"/>
      <c r="G289" s="365"/>
      <c r="H289" s="339"/>
    </row>
    <row r="290" spans="1:11">
      <c r="A290" s="330"/>
      <c r="B290" s="356"/>
      <c r="D290" s="733" t="s">
        <v>801</v>
      </c>
      <c r="E290" s="733"/>
      <c r="G290" s="357"/>
    </row>
    <row r="291" spans="1:11" ht="15.75" customHeight="1">
      <c r="A291" s="330"/>
      <c r="B291" s="730"/>
      <c r="C291" s="731"/>
      <c r="D291" s="731"/>
      <c r="E291" s="338"/>
      <c r="F291" s="338"/>
      <c r="G291" s="361"/>
      <c r="H291" s="331"/>
    </row>
    <row r="292" spans="1:11">
      <c r="A292" s="330"/>
      <c r="B292" s="730"/>
      <c r="C292" s="731"/>
      <c r="D292" s="731"/>
      <c r="E292" s="338"/>
      <c r="F292" s="338"/>
      <c r="G292" s="361"/>
      <c r="H292" s="331"/>
    </row>
    <row r="293" spans="1:11" ht="36" customHeight="1">
      <c r="A293" s="330"/>
      <c r="B293" s="356"/>
      <c r="D293" s="732" t="s">
        <v>806</v>
      </c>
      <c r="E293" s="732"/>
      <c r="F293" s="338"/>
      <c r="G293" s="361"/>
    </row>
    <row r="294" spans="1:11">
      <c r="A294" s="330"/>
      <c r="B294" s="354"/>
      <c r="C294" s="331"/>
      <c r="D294" s="331"/>
      <c r="E294" s="338"/>
      <c r="F294" s="338"/>
      <c r="G294" s="361"/>
      <c r="H294" s="331"/>
    </row>
    <row r="295" spans="1:11">
      <c r="A295" s="330"/>
      <c r="B295" s="354"/>
      <c r="C295" s="331"/>
      <c r="D295" s="733" t="s">
        <v>802</v>
      </c>
      <c r="E295" s="733"/>
      <c r="F295" s="338"/>
      <c r="G295" s="361"/>
      <c r="H295" s="331"/>
    </row>
    <row r="296" spans="1:11">
      <c r="A296" s="330"/>
      <c r="B296" s="354"/>
      <c r="C296" s="331"/>
      <c r="D296" s="734" t="s">
        <v>807</v>
      </c>
      <c r="E296" s="734"/>
      <c r="F296" s="338"/>
      <c r="G296" s="361"/>
      <c r="H296" s="331"/>
    </row>
    <row r="297" spans="1:11" ht="15.75" customHeight="1">
      <c r="A297" s="330"/>
      <c r="B297" s="735"/>
      <c r="C297" s="736"/>
      <c r="D297" s="736"/>
      <c r="E297" s="338"/>
      <c r="F297" s="338"/>
      <c r="G297" s="361"/>
    </row>
    <row r="298" spans="1:11">
      <c r="A298" s="330"/>
      <c r="B298" s="735"/>
      <c r="C298" s="736"/>
      <c r="D298" s="736"/>
      <c r="E298" s="338"/>
      <c r="F298" s="338"/>
      <c r="G298" s="361"/>
    </row>
    <row r="299" spans="1:11">
      <c r="A299" s="330"/>
      <c r="B299" s="354"/>
      <c r="C299" s="331"/>
      <c r="E299" s="338"/>
      <c r="F299" s="338"/>
      <c r="G299" s="361"/>
    </row>
    <row r="300" spans="1:11">
      <c r="A300" s="330"/>
      <c r="B300" s="737"/>
      <c r="C300" s="738"/>
      <c r="D300" s="738"/>
      <c r="E300" s="338"/>
      <c r="F300" s="338"/>
      <c r="G300" s="361"/>
      <c r="H300" s="331"/>
    </row>
    <row r="301" spans="1:11">
      <c r="A301" s="330"/>
      <c r="B301" s="356"/>
      <c r="E301" s="338"/>
      <c r="F301" s="338"/>
      <c r="G301" s="361"/>
    </row>
    <row r="302" spans="1:11">
      <c r="A302" s="330"/>
      <c r="B302" s="356"/>
      <c r="E302" s="338"/>
      <c r="F302" s="338"/>
      <c r="G302" s="361"/>
      <c r="K302" t="s">
        <v>795</v>
      </c>
    </row>
    <row r="303" spans="1:11">
      <c r="A303" s="330"/>
      <c r="B303" s="356"/>
      <c r="E303" s="338"/>
      <c r="F303" s="338"/>
      <c r="G303" s="361"/>
      <c r="H303" s="350"/>
      <c r="K303" t="s">
        <v>796</v>
      </c>
    </row>
    <row r="304" spans="1:11">
      <c r="A304" s="330"/>
      <c r="B304" s="356"/>
      <c r="E304" s="338"/>
      <c r="F304" s="338"/>
      <c r="G304" s="361"/>
    </row>
    <row r="305" spans="1:8">
      <c r="A305" s="330"/>
      <c r="B305" s="744"/>
      <c r="C305" s="745"/>
      <c r="D305" s="746"/>
      <c r="E305" s="338"/>
      <c r="F305" s="338"/>
      <c r="G305" s="361"/>
      <c r="H305" s="331"/>
    </row>
    <row r="306" spans="1:8">
      <c r="A306" s="330"/>
      <c r="B306" s="356"/>
      <c r="D306" s="357"/>
      <c r="E306" s="338"/>
      <c r="F306" s="338"/>
      <c r="G306" s="361"/>
    </row>
    <row r="307" spans="1:8">
      <c r="A307" s="330"/>
      <c r="B307" s="356"/>
      <c r="D307" s="367" t="s">
        <v>797</v>
      </c>
      <c r="E307" s="338"/>
      <c r="F307" s="338"/>
      <c r="G307" s="361"/>
    </row>
    <row r="308" spans="1:8">
      <c r="A308" s="330"/>
      <c r="B308" s="356"/>
      <c r="D308" s="357" t="s">
        <v>798</v>
      </c>
      <c r="E308" s="338"/>
      <c r="F308" s="338"/>
      <c r="G308" s="361"/>
      <c r="H308" s="351"/>
    </row>
    <row r="309" spans="1:8">
      <c r="A309" s="330"/>
      <c r="B309" s="354"/>
      <c r="C309" s="331"/>
      <c r="D309" s="355" t="s">
        <v>799</v>
      </c>
      <c r="E309" s="338"/>
      <c r="F309" s="338"/>
      <c r="G309" s="361"/>
      <c r="H309" s="331"/>
    </row>
    <row r="310" spans="1:8">
      <c r="A310" s="330"/>
      <c r="B310" s="354"/>
      <c r="C310" s="331"/>
      <c r="D310" s="355" t="s">
        <v>800</v>
      </c>
      <c r="E310" s="338"/>
      <c r="F310" s="338"/>
      <c r="G310" s="361"/>
      <c r="H310" s="331"/>
    </row>
    <row r="311" spans="1:8">
      <c r="A311" s="330"/>
      <c r="B311" s="354"/>
      <c r="C311" s="331"/>
      <c r="D311" s="355"/>
      <c r="E311" s="338"/>
      <c r="F311" s="338"/>
      <c r="G311" s="361"/>
      <c r="H311" s="331"/>
    </row>
    <row r="312" spans="1:8">
      <c r="A312" s="330"/>
      <c r="B312" s="354"/>
      <c r="C312" s="331"/>
      <c r="D312" s="355"/>
      <c r="E312" s="338"/>
      <c r="F312" s="338"/>
      <c r="G312" s="361"/>
      <c r="H312" s="331"/>
    </row>
    <row r="313" spans="1:8" ht="9.75" customHeight="1">
      <c r="A313" s="330"/>
      <c r="B313" s="368"/>
      <c r="C313" s="369"/>
      <c r="D313" s="370"/>
      <c r="E313" s="371"/>
      <c r="F313" s="371"/>
      <c r="G313" s="372"/>
      <c r="H313" s="331"/>
    </row>
    <row r="314" spans="1:8" ht="15.75" customHeight="1">
      <c r="A314" s="330"/>
      <c r="B314" s="736"/>
      <c r="C314" s="736"/>
      <c r="D314" s="736"/>
      <c r="E314" s="338"/>
      <c r="F314" s="338"/>
      <c r="G314" s="338"/>
      <c r="H314" s="345"/>
    </row>
    <row r="315" spans="1:8">
      <c r="A315" s="330"/>
      <c r="B315" s="736"/>
      <c r="C315" s="736"/>
      <c r="D315" s="736"/>
      <c r="E315" s="338"/>
      <c r="F315" s="338"/>
      <c r="G315" s="338"/>
    </row>
    <row r="316" spans="1:8">
      <c r="A316" s="328"/>
      <c r="B316" s="747"/>
      <c r="C316" s="747"/>
      <c r="D316" s="747"/>
      <c r="E316" s="747"/>
      <c r="F316" s="747"/>
      <c r="G316" s="747"/>
      <c r="H316" s="747"/>
    </row>
    <row r="317" spans="1:8">
      <c r="A317" s="329"/>
      <c r="B317" s="747"/>
      <c r="C317" s="747"/>
      <c r="D317" s="747"/>
      <c r="E317" s="747"/>
      <c r="F317" s="747"/>
      <c r="G317" s="747"/>
      <c r="H317" s="747"/>
    </row>
    <row r="318" spans="1:8" ht="10.5" customHeight="1">
      <c r="A318" s="330"/>
      <c r="B318" s="748"/>
      <c r="C318" s="749"/>
      <c r="D318" s="749"/>
      <c r="E318" s="749"/>
      <c r="F318" s="352"/>
      <c r="G318" s="353"/>
      <c r="H318" s="332"/>
    </row>
    <row r="319" spans="1:8">
      <c r="A319" s="330"/>
      <c r="B319" s="354"/>
      <c r="C319" s="331"/>
      <c r="D319" s="331"/>
      <c r="E319" s="331"/>
      <c r="F319" s="331"/>
      <c r="G319" s="355"/>
      <c r="H319" s="331"/>
    </row>
    <row r="320" spans="1:8">
      <c r="A320" s="330"/>
      <c r="B320" s="354"/>
      <c r="C320" s="331"/>
      <c r="D320" s="331"/>
      <c r="E320" s="331"/>
      <c r="F320" s="331"/>
      <c r="G320" s="355"/>
      <c r="H320" s="331"/>
    </row>
    <row r="321" spans="1:8">
      <c r="A321" s="330"/>
      <c r="B321" s="737"/>
      <c r="C321" s="738"/>
      <c r="D321" s="738"/>
      <c r="E321" s="738"/>
      <c r="F321" s="331"/>
      <c r="G321" s="355"/>
      <c r="H321" s="331"/>
    </row>
    <row r="322" spans="1:8">
      <c r="A322" s="330"/>
      <c r="B322" s="354"/>
      <c r="C322" s="331"/>
      <c r="D322" s="331"/>
      <c r="E322" s="331"/>
      <c r="F322" s="331"/>
      <c r="G322" s="355"/>
      <c r="H322" s="331"/>
    </row>
    <row r="323" spans="1:8">
      <c r="A323" s="330"/>
      <c r="B323" s="354"/>
      <c r="C323" s="331"/>
      <c r="D323" s="331"/>
      <c r="E323" s="331"/>
      <c r="F323" s="331"/>
      <c r="G323" s="355"/>
      <c r="H323" s="331"/>
    </row>
    <row r="324" spans="1:8">
      <c r="A324" s="330"/>
      <c r="B324" s="354"/>
      <c r="C324" s="331"/>
      <c r="D324" s="331"/>
      <c r="E324" s="331"/>
      <c r="F324" s="331"/>
      <c r="G324" s="355"/>
      <c r="H324" s="331"/>
    </row>
    <row r="325" spans="1:8" ht="30">
      <c r="A325" s="330"/>
      <c r="B325" s="356"/>
      <c r="D325" s="1080" t="s">
        <v>1526</v>
      </c>
      <c r="E325" s="1080"/>
      <c r="F325" s="331"/>
      <c r="G325" s="355"/>
      <c r="H325" s="331"/>
    </row>
    <row r="326" spans="1:8">
      <c r="A326" s="330"/>
      <c r="B326" s="354"/>
      <c r="C326" s="331"/>
      <c r="D326" s="332"/>
      <c r="E326" s="332"/>
      <c r="F326" s="331"/>
      <c r="G326" s="355"/>
      <c r="H326" s="331"/>
    </row>
    <row r="327" spans="1:8">
      <c r="A327" s="330"/>
      <c r="B327" s="354"/>
      <c r="C327" s="331"/>
      <c r="D327" s="332"/>
      <c r="E327" s="332"/>
      <c r="F327" s="331"/>
      <c r="G327" s="355"/>
      <c r="H327" s="331"/>
    </row>
    <row r="328" spans="1:8" ht="26.25">
      <c r="A328" s="330"/>
      <c r="B328" s="354"/>
      <c r="C328" s="331"/>
      <c r="D328" s="763" t="s">
        <v>794</v>
      </c>
      <c r="E328" s="763"/>
      <c r="F328" s="331"/>
      <c r="G328" s="355"/>
      <c r="H328" s="331"/>
    </row>
    <row r="329" spans="1:8">
      <c r="A329" s="330"/>
      <c r="B329" s="354"/>
      <c r="C329" s="331"/>
      <c r="D329" s="332"/>
      <c r="E329" s="332"/>
      <c r="F329" s="331"/>
      <c r="G329" s="355"/>
      <c r="H329" s="331"/>
    </row>
    <row r="330" spans="1:8" ht="27.75">
      <c r="A330" s="330"/>
      <c r="B330" s="354"/>
      <c r="C330" s="331"/>
      <c r="D330" s="1081" t="s">
        <v>367</v>
      </c>
      <c r="E330" s="1081"/>
      <c r="F330" s="331"/>
      <c r="G330" s="355"/>
      <c r="H330" s="331"/>
    </row>
    <row r="331" spans="1:8" ht="7.5" customHeight="1">
      <c r="A331" s="330"/>
      <c r="B331" s="354"/>
      <c r="C331" s="331"/>
      <c r="D331" s="332"/>
      <c r="E331" s="332"/>
      <c r="F331" s="331"/>
      <c r="G331" s="355"/>
      <c r="H331" s="331"/>
    </row>
    <row r="332" spans="1:8" ht="27.75">
      <c r="A332" s="330"/>
      <c r="B332" s="356"/>
      <c r="D332" s="1081" t="s">
        <v>668</v>
      </c>
      <c r="E332" s="1081"/>
      <c r="F332" s="331"/>
      <c r="G332" s="355"/>
      <c r="H332" s="331"/>
    </row>
    <row r="333" spans="1:8">
      <c r="A333" s="330"/>
      <c r="B333" s="354"/>
      <c r="C333" s="331"/>
      <c r="D333" s="332"/>
      <c r="E333" s="332"/>
      <c r="F333" s="331"/>
      <c r="G333" s="355"/>
      <c r="H333" s="331"/>
    </row>
    <row r="334" spans="1:8">
      <c r="A334" s="330"/>
      <c r="B334" s="354"/>
      <c r="C334" s="331"/>
      <c r="D334" s="331"/>
      <c r="E334" s="331"/>
      <c r="F334" s="331"/>
      <c r="G334" s="355"/>
      <c r="H334" s="333"/>
    </row>
    <row r="335" spans="1:8">
      <c r="A335" s="330"/>
      <c r="B335" s="354"/>
      <c r="C335" s="331"/>
      <c r="D335" s="331"/>
      <c r="E335" s="331"/>
      <c r="F335" s="331"/>
      <c r="G335" s="355"/>
      <c r="H335" s="333"/>
    </row>
    <row r="336" spans="1:8">
      <c r="A336" s="330"/>
      <c r="B336" s="354"/>
      <c r="C336" s="331"/>
      <c r="D336" s="331"/>
      <c r="E336" s="331"/>
      <c r="F336" s="331"/>
      <c r="G336" s="355"/>
      <c r="H336" s="333"/>
    </row>
    <row r="337" spans="1:8">
      <c r="A337" s="330"/>
      <c r="B337" s="354"/>
      <c r="C337" s="331"/>
      <c r="D337" s="331"/>
      <c r="E337" s="331"/>
      <c r="F337" s="331"/>
      <c r="G337" s="355"/>
      <c r="H337" s="333"/>
    </row>
    <row r="338" spans="1:8">
      <c r="A338" s="330"/>
      <c r="B338" s="356"/>
      <c r="G338" s="357"/>
      <c r="H338" s="333"/>
    </row>
    <row r="339" spans="1:8" ht="15.75" customHeight="1">
      <c r="A339" s="337"/>
      <c r="B339" s="752"/>
      <c r="C339" s="753"/>
      <c r="D339" s="753"/>
      <c r="E339" s="753"/>
      <c r="F339" s="358"/>
      <c r="G339" s="359"/>
      <c r="H339" s="360"/>
    </row>
    <row r="340" spans="1:8">
      <c r="A340" s="330"/>
      <c r="B340" s="356"/>
      <c r="G340" s="357"/>
    </row>
    <row r="341" spans="1:8">
      <c r="A341" s="330"/>
      <c r="B341" s="354"/>
      <c r="C341" s="331"/>
      <c r="D341" s="331"/>
      <c r="E341" s="338"/>
      <c r="F341" s="338"/>
      <c r="G341" s="361"/>
      <c r="H341" s="339"/>
    </row>
    <row r="342" spans="1:8" ht="15.75" customHeight="1">
      <c r="A342" s="330"/>
      <c r="B342" s="730"/>
      <c r="C342" s="731"/>
      <c r="D342" s="731"/>
      <c r="E342" s="731"/>
      <c r="F342" s="343"/>
      <c r="G342" s="362"/>
      <c r="H342" s="743"/>
    </row>
    <row r="343" spans="1:8">
      <c r="A343" s="330"/>
      <c r="B343" s="730"/>
      <c r="C343" s="731"/>
      <c r="D343" s="731"/>
      <c r="E343" s="731"/>
      <c r="F343" s="343"/>
      <c r="G343" s="362"/>
      <c r="H343" s="743"/>
    </row>
    <row r="344" spans="1:8">
      <c r="A344" s="330"/>
      <c r="B344" s="363"/>
      <c r="C344" s="343"/>
      <c r="D344" s="343"/>
      <c r="E344" s="343"/>
      <c r="F344" s="343"/>
      <c r="G344" s="362"/>
      <c r="H344" s="344"/>
    </row>
    <row r="345" spans="1:8">
      <c r="A345" s="330"/>
      <c r="B345" s="364"/>
      <c r="C345" s="332"/>
      <c r="D345" s="332"/>
      <c r="E345" s="332"/>
      <c r="F345" s="332"/>
      <c r="G345" s="365"/>
      <c r="H345" s="332"/>
    </row>
    <row r="346" spans="1:8">
      <c r="A346" s="330"/>
      <c r="B346" s="737"/>
      <c r="C346" s="738"/>
      <c r="D346" s="738"/>
      <c r="E346" s="738"/>
      <c r="F346" s="331"/>
      <c r="G346" s="355"/>
      <c r="H346" s="345"/>
    </row>
    <row r="347" spans="1:8" ht="15.75" hidden="1" customHeight="1">
      <c r="A347" s="330"/>
      <c r="B347" s="737" t="s">
        <v>774</v>
      </c>
      <c r="C347" s="738"/>
      <c r="D347" s="738"/>
      <c r="E347" s="738"/>
      <c r="F347" s="331"/>
      <c r="G347" s="355"/>
      <c r="H347" s="345" t="s">
        <v>770</v>
      </c>
    </row>
    <row r="348" spans="1:8" hidden="1">
      <c r="A348" s="330"/>
      <c r="B348" s="354" t="s">
        <v>775</v>
      </c>
      <c r="C348" s="331"/>
      <c r="D348" s="331"/>
      <c r="E348" s="331"/>
      <c r="F348" s="331"/>
      <c r="G348" s="355"/>
      <c r="H348" s="345" t="s">
        <v>770</v>
      </c>
    </row>
    <row r="349" spans="1:8">
      <c r="A349" s="330"/>
      <c r="B349" s="737"/>
      <c r="C349" s="738"/>
      <c r="D349" s="738"/>
      <c r="E349" s="738"/>
      <c r="F349" s="331"/>
      <c r="G349" s="355"/>
      <c r="H349" s="345"/>
    </row>
    <row r="350" spans="1:8" ht="27.75">
      <c r="A350" s="330"/>
      <c r="B350" s="373"/>
      <c r="C350" s="341"/>
      <c r="D350" s="739" t="s">
        <v>762</v>
      </c>
      <c r="E350" s="739"/>
      <c r="F350" s="330"/>
      <c r="G350" s="366"/>
      <c r="H350" s="339"/>
    </row>
    <row r="351" spans="1:8">
      <c r="A351" s="330"/>
      <c r="B351" s="356"/>
      <c r="G351" s="357"/>
    </row>
    <row r="352" spans="1:8">
      <c r="A352" s="330"/>
      <c r="B352" s="373"/>
      <c r="C352" s="341"/>
      <c r="D352" s="733"/>
      <c r="E352" s="733"/>
      <c r="F352" s="332"/>
      <c r="G352" s="365"/>
      <c r="H352" s="339"/>
    </row>
    <row r="353" spans="1:11">
      <c r="A353" s="330"/>
      <c r="B353" s="356"/>
      <c r="D353" s="733" t="s">
        <v>801</v>
      </c>
      <c r="E353" s="733"/>
      <c r="G353" s="357"/>
    </row>
    <row r="354" spans="1:11" ht="15.75" customHeight="1">
      <c r="A354" s="330"/>
      <c r="B354" s="730"/>
      <c r="C354" s="731"/>
      <c r="D354" s="731"/>
      <c r="E354" s="338"/>
      <c r="F354" s="338"/>
      <c r="G354" s="361"/>
      <c r="H354" s="331"/>
    </row>
    <row r="355" spans="1:11">
      <c r="A355" s="330"/>
      <c r="B355" s="730"/>
      <c r="C355" s="731"/>
      <c r="D355" s="731"/>
      <c r="E355" s="338"/>
      <c r="F355" s="338"/>
      <c r="G355" s="361"/>
      <c r="H355" s="331"/>
    </row>
    <row r="356" spans="1:11" ht="36" customHeight="1">
      <c r="A356" s="330"/>
      <c r="B356" s="356"/>
      <c r="D356" s="732" t="s">
        <v>806</v>
      </c>
      <c r="E356" s="732"/>
      <c r="F356" s="338"/>
      <c r="G356" s="361"/>
    </row>
    <row r="357" spans="1:11">
      <c r="A357" s="330"/>
      <c r="B357" s="354"/>
      <c r="C357" s="331"/>
      <c r="D357" s="331"/>
      <c r="E357" s="338"/>
      <c r="F357" s="338"/>
      <c r="G357" s="361"/>
      <c r="H357" s="331"/>
    </row>
    <row r="358" spans="1:11">
      <c r="A358" s="330"/>
      <c r="B358" s="354"/>
      <c r="C358" s="331"/>
      <c r="D358" s="733" t="s">
        <v>802</v>
      </c>
      <c r="E358" s="733"/>
      <c r="F358" s="338"/>
      <c r="G358" s="361"/>
      <c r="H358" s="331"/>
    </row>
    <row r="359" spans="1:11">
      <c r="A359" s="330"/>
      <c r="B359" s="354"/>
      <c r="C359" s="331"/>
      <c r="D359" s="734" t="s">
        <v>807</v>
      </c>
      <c r="E359" s="734"/>
      <c r="F359" s="338"/>
      <c r="G359" s="361"/>
      <c r="H359" s="331"/>
    </row>
    <row r="360" spans="1:11" ht="15.75" customHeight="1">
      <c r="A360" s="330"/>
      <c r="B360" s="735"/>
      <c r="C360" s="736"/>
      <c r="D360" s="736"/>
      <c r="E360" s="338"/>
      <c r="F360" s="338"/>
      <c r="G360" s="361"/>
    </row>
    <row r="361" spans="1:11">
      <c r="A361" s="330"/>
      <c r="B361" s="735"/>
      <c r="C361" s="736"/>
      <c r="D361" s="736"/>
      <c r="E361" s="338"/>
      <c r="F361" s="338"/>
      <c r="G361" s="361"/>
    </row>
    <row r="362" spans="1:11">
      <c r="A362" s="330"/>
      <c r="B362" s="354"/>
      <c r="C362" s="331"/>
      <c r="E362" s="338"/>
      <c r="F362" s="338"/>
      <c r="G362" s="361"/>
    </row>
    <row r="363" spans="1:11">
      <c r="A363" s="330"/>
      <c r="B363" s="737"/>
      <c r="C363" s="738"/>
      <c r="D363" s="738"/>
      <c r="E363" s="338"/>
      <c r="F363" s="338"/>
      <c r="G363" s="361"/>
      <c r="H363" s="331"/>
    </row>
    <row r="364" spans="1:11">
      <c r="A364" s="330"/>
      <c r="B364" s="356"/>
      <c r="E364" s="338"/>
      <c r="F364" s="338"/>
      <c r="G364" s="361"/>
    </row>
    <row r="365" spans="1:11">
      <c r="A365" s="330"/>
      <c r="B365" s="356"/>
      <c r="E365" s="338"/>
      <c r="F365" s="338"/>
      <c r="G365" s="361"/>
      <c r="K365" t="s">
        <v>795</v>
      </c>
    </row>
    <row r="366" spans="1:11">
      <c r="A366" s="330"/>
      <c r="B366" s="356"/>
      <c r="E366" s="338"/>
      <c r="F366" s="338"/>
      <c r="G366" s="361"/>
      <c r="H366" s="350"/>
      <c r="K366" t="s">
        <v>796</v>
      </c>
    </row>
    <row r="367" spans="1:11">
      <c r="A367" s="330"/>
      <c r="B367" s="356"/>
      <c r="E367" s="338"/>
      <c r="F367" s="338"/>
      <c r="G367" s="361"/>
    </row>
    <row r="368" spans="1:11">
      <c r="A368" s="330"/>
      <c r="B368" s="744"/>
      <c r="C368" s="745"/>
      <c r="D368" s="746"/>
      <c r="E368" s="338"/>
      <c r="F368" s="338"/>
      <c r="G368" s="361"/>
      <c r="H368" s="331"/>
    </row>
    <row r="369" spans="1:8">
      <c r="A369" s="330"/>
      <c r="B369" s="356"/>
      <c r="D369" s="357"/>
      <c r="E369" s="338"/>
      <c r="F369" s="338"/>
      <c r="G369" s="361"/>
    </row>
    <row r="370" spans="1:8">
      <c r="A370" s="330"/>
      <c r="B370" s="356"/>
      <c r="D370" s="367" t="s">
        <v>797</v>
      </c>
      <c r="E370" s="338"/>
      <c r="F370" s="338"/>
      <c r="G370" s="361"/>
    </row>
    <row r="371" spans="1:8">
      <c r="A371" s="330"/>
      <c r="B371" s="356"/>
      <c r="D371" s="357" t="s">
        <v>798</v>
      </c>
      <c r="E371" s="338"/>
      <c r="F371" s="338"/>
      <c r="G371" s="361"/>
      <c r="H371" s="351"/>
    </row>
    <row r="372" spans="1:8">
      <c r="A372" s="330"/>
      <c r="B372" s="354"/>
      <c r="C372" s="331"/>
      <c r="D372" s="355" t="s">
        <v>799</v>
      </c>
      <c r="E372" s="338"/>
      <c r="F372" s="338"/>
      <c r="G372" s="361"/>
      <c r="H372" s="331"/>
    </row>
    <row r="373" spans="1:8">
      <c r="A373" s="330"/>
      <c r="B373" s="354"/>
      <c r="C373" s="331"/>
      <c r="D373" s="355" t="s">
        <v>800</v>
      </c>
      <c r="E373" s="338"/>
      <c r="F373" s="338"/>
      <c r="G373" s="361"/>
      <c r="H373" s="331"/>
    </row>
    <row r="374" spans="1:8">
      <c r="A374" s="330"/>
      <c r="B374" s="354"/>
      <c r="C374" s="331"/>
      <c r="D374" s="355"/>
      <c r="E374" s="338"/>
      <c r="F374" s="338"/>
      <c r="G374" s="361"/>
      <c r="H374" s="331"/>
    </row>
    <row r="375" spans="1:8">
      <c r="A375" s="330"/>
      <c r="B375" s="354"/>
      <c r="C375" s="331"/>
      <c r="D375" s="355"/>
      <c r="E375" s="338"/>
      <c r="F375" s="338"/>
      <c r="G375" s="361"/>
      <c r="H375" s="331"/>
    </row>
    <row r="376" spans="1:8" ht="9.75" customHeight="1">
      <c r="A376" s="330"/>
      <c r="B376" s="368"/>
      <c r="C376" s="369"/>
      <c r="D376" s="370"/>
      <c r="E376" s="371"/>
      <c r="F376" s="371"/>
      <c r="G376" s="372"/>
      <c r="H376" s="331"/>
    </row>
    <row r="377" spans="1:8" ht="15.75" customHeight="1">
      <c r="A377" s="330"/>
      <c r="B377" s="736"/>
      <c r="C377" s="736"/>
      <c r="D377" s="736"/>
      <c r="E377" s="338"/>
      <c r="F377" s="338"/>
      <c r="G377" s="338"/>
      <c r="H377" s="345"/>
    </row>
    <row r="378" spans="1:8">
      <c r="A378" s="330"/>
      <c r="B378" s="736"/>
      <c r="C378" s="736"/>
      <c r="D378" s="736"/>
      <c r="E378" s="338"/>
      <c r="F378" s="338"/>
      <c r="G378" s="338"/>
    </row>
    <row r="379" spans="1:8">
      <c r="A379" s="328"/>
      <c r="B379" s="747"/>
      <c r="C379" s="747"/>
      <c r="D379" s="747"/>
      <c r="E379" s="747"/>
      <c r="F379" s="747"/>
      <c r="G379" s="747"/>
      <c r="H379" s="747"/>
    </row>
    <row r="380" spans="1:8">
      <c r="A380" s="329"/>
      <c r="B380" s="747"/>
      <c r="C380" s="747"/>
      <c r="D380" s="747"/>
      <c r="E380" s="747"/>
      <c r="F380" s="747"/>
      <c r="G380" s="747"/>
      <c r="H380" s="747"/>
    </row>
    <row r="381" spans="1:8" ht="10.5" customHeight="1">
      <c r="A381" s="330"/>
      <c r="B381" s="748"/>
      <c r="C381" s="749"/>
      <c r="D381" s="749"/>
      <c r="E381" s="749"/>
      <c r="F381" s="352"/>
      <c r="G381" s="353"/>
      <c r="H381" s="332"/>
    </row>
    <row r="382" spans="1:8">
      <c r="A382" s="330"/>
      <c r="B382" s="354"/>
      <c r="C382" s="331"/>
      <c r="D382" s="331"/>
      <c r="E382" s="331"/>
      <c r="F382" s="331"/>
      <c r="G382" s="355"/>
      <c r="H382" s="331"/>
    </row>
    <row r="383" spans="1:8">
      <c r="A383" s="330"/>
      <c r="B383" s="354"/>
      <c r="C383" s="331"/>
      <c r="D383" s="331"/>
      <c r="E383" s="331"/>
      <c r="F383" s="331"/>
      <c r="G383" s="355"/>
      <c r="H383" s="331"/>
    </row>
    <row r="384" spans="1:8">
      <c r="A384" s="330"/>
      <c r="B384" s="737"/>
      <c r="C384" s="738"/>
      <c r="D384" s="738"/>
      <c r="E384" s="738"/>
      <c r="F384" s="331"/>
      <c r="G384" s="355"/>
      <c r="H384" s="331"/>
    </row>
    <row r="385" spans="1:8">
      <c r="A385" s="330"/>
      <c r="B385" s="354"/>
      <c r="C385" s="331"/>
      <c r="D385" s="331"/>
      <c r="E385" s="331"/>
      <c r="F385" s="331"/>
      <c r="G385" s="355"/>
      <c r="H385" s="331"/>
    </row>
    <row r="386" spans="1:8">
      <c r="A386" s="330"/>
      <c r="B386" s="354"/>
      <c r="C386" s="331"/>
      <c r="D386" s="331"/>
      <c r="E386" s="331"/>
      <c r="F386" s="331"/>
      <c r="G386" s="355"/>
      <c r="H386" s="331"/>
    </row>
    <row r="387" spans="1:8">
      <c r="A387" s="330"/>
      <c r="B387" s="354"/>
      <c r="C387" s="331"/>
      <c r="D387" s="331"/>
      <c r="E387" s="331"/>
      <c r="F387" s="331"/>
      <c r="G387" s="355"/>
      <c r="H387" s="331"/>
    </row>
    <row r="388" spans="1:8" ht="30">
      <c r="A388" s="330"/>
      <c r="B388" s="356"/>
      <c r="D388" s="1080" t="s">
        <v>1529</v>
      </c>
      <c r="E388" s="1080"/>
      <c r="F388" s="331"/>
      <c r="G388" s="355"/>
      <c r="H388" s="331"/>
    </row>
    <row r="389" spans="1:8">
      <c r="A389" s="330"/>
      <c r="B389" s="354"/>
      <c r="C389" s="331"/>
      <c r="D389" s="332"/>
      <c r="E389" s="332"/>
      <c r="F389" s="331"/>
      <c r="G389" s="355"/>
      <c r="H389" s="331"/>
    </row>
    <row r="390" spans="1:8">
      <c r="A390" s="330"/>
      <c r="B390" s="354"/>
      <c r="C390" s="331"/>
      <c r="D390" s="332"/>
      <c r="E390" s="332"/>
      <c r="F390" s="331"/>
      <c r="G390" s="355"/>
      <c r="H390" s="331"/>
    </row>
    <row r="391" spans="1:8" ht="26.25">
      <c r="A391" s="330"/>
      <c r="B391" s="354"/>
      <c r="C391" s="331"/>
      <c r="D391" s="763" t="s">
        <v>794</v>
      </c>
      <c r="E391" s="763"/>
      <c r="F391" s="331"/>
      <c r="G391" s="355"/>
      <c r="H391" s="331"/>
    </row>
    <row r="392" spans="1:8">
      <c r="A392" s="330"/>
      <c r="B392" s="354"/>
      <c r="C392" s="331"/>
      <c r="D392" s="332"/>
      <c r="E392" s="332"/>
      <c r="F392" s="331"/>
      <c r="G392" s="355"/>
      <c r="H392" s="331"/>
    </row>
    <row r="393" spans="1:8" ht="27.75">
      <c r="A393" s="330"/>
      <c r="B393" s="354"/>
      <c r="C393" s="331"/>
      <c r="D393" s="1081" t="s">
        <v>1530</v>
      </c>
      <c r="E393" s="1081"/>
      <c r="F393" s="331"/>
      <c r="G393" s="355"/>
      <c r="H393" s="331"/>
    </row>
    <row r="394" spans="1:8" ht="7.5" customHeight="1">
      <c r="A394" s="330"/>
      <c r="B394" s="354"/>
      <c r="C394" s="331"/>
      <c r="D394" s="332"/>
      <c r="E394" s="332"/>
      <c r="F394" s="331"/>
      <c r="G394" s="355"/>
      <c r="H394" s="331"/>
    </row>
    <row r="395" spans="1:8">
      <c r="A395" s="330"/>
      <c r="B395" s="356"/>
      <c r="D395" s="331"/>
      <c r="E395" s="331"/>
      <c r="F395" s="331"/>
      <c r="G395" s="355"/>
      <c r="H395" s="331"/>
    </row>
    <row r="396" spans="1:8">
      <c r="A396" s="330"/>
      <c r="B396" s="354"/>
      <c r="C396" s="331"/>
      <c r="D396" s="332"/>
      <c r="E396" s="332"/>
      <c r="F396" s="331"/>
      <c r="G396" s="355"/>
      <c r="H396" s="331"/>
    </row>
    <row r="397" spans="1:8">
      <c r="A397" s="330"/>
      <c r="B397" s="354"/>
      <c r="C397" s="331"/>
      <c r="D397" s="331"/>
      <c r="E397" s="331"/>
      <c r="F397" s="331"/>
      <c r="G397" s="355"/>
      <c r="H397" s="333"/>
    </row>
    <row r="398" spans="1:8">
      <c r="A398" s="330"/>
      <c r="B398" s="354"/>
      <c r="C398" s="331"/>
      <c r="D398" s="331"/>
      <c r="E398" s="331"/>
      <c r="F398" s="331"/>
      <c r="G398" s="355"/>
      <c r="H398" s="333"/>
    </row>
    <row r="399" spans="1:8">
      <c r="A399" s="330"/>
      <c r="B399" s="354"/>
      <c r="C399" s="331"/>
      <c r="D399" s="331"/>
      <c r="E399" s="331"/>
      <c r="F399" s="331"/>
      <c r="G399" s="355"/>
      <c r="H399" s="333"/>
    </row>
    <row r="400" spans="1:8">
      <c r="A400" s="330"/>
      <c r="B400" s="354"/>
      <c r="C400" s="331"/>
      <c r="D400" s="331"/>
      <c r="E400" s="331"/>
      <c r="F400" s="331"/>
      <c r="G400" s="355"/>
      <c r="H400" s="333"/>
    </row>
    <row r="401" spans="1:8">
      <c r="A401" s="330"/>
      <c r="B401" s="356"/>
      <c r="G401" s="357"/>
      <c r="H401" s="333"/>
    </row>
    <row r="402" spans="1:8" ht="15.75" customHeight="1">
      <c r="A402" s="337"/>
      <c r="B402" s="752"/>
      <c r="C402" s="753"/>
      <c r="D402" s="753"/>
      <c r="E402" s="753"/>
      <c r="F402" s="358"/>
      <c r="G402" s="359"/>
      <c r="H402" s="360"/>
    </row>
    <row r="403" spans="1:8">
      <c r="A403" s="330"/>
      <c r="B403" s="356"/>
      <c r="G403" s="357"/>
    </row>
    <row r="404" spans="1:8">
      <c r="A404" s="330"/>
      <c r="B404" s="354"/>
      <c r="C404" s="331"/>
      <c r="D404" s="331"/>
      <c r="E404" s="338"/>
      <c r="F404" s="338"/>
      <c r="G404" s="361"/>
      <c r="H404" s="339"/>
    </row>
    <row r="405" spans="1:8" ht="15.75" customHeight="1">
      <c r="A405" s="330"/>
      <c r="B405" s="730"/>
      <c r="C405" s="731"/>
      <c r="D405" s="731"/>
      <c r="E405" s="731"/>
      <c r="F405" s="343"/>
      <c r="G405" s="362"/>
      <c r="H405" s="743"/>
    </row>
    <row r="406" spans="1:8">
      <c r="A406" s="330"/>
      <c r="B406" s="730"/>
      <c r="C406" s="731"/>
      <c r="D406" s="731"/>
      <c r="E406" s="731"/>
      <c r="F406" s="343"/>
      <c r="G406" s="362"/>
      <c r="H406" s="743"/>
    </row>
    <row r="407" spans="1:8">
      <c r="A407" s="330"/>
      <c r="B407" s="363"/>
      <c r="C407" s="343"/>
      <c r="D407" s="343"/>
      <c r="E407" s="343"/>
      <c r="F407" s="343"/>
      <c r="G407" s="362"/>
      <c r="H407" s="344"/>
    </row>
    <row r="408" spans="1:8">
      <c r="A408" s="330"/>
      <c r="B408" s="364"/>
      <c r="C408" s="332"/>
      <c r="D408" s="332"/>
      <c r="E408" s="332"/>
      <c r="F408" s="332"/>
      <c r="G408" s="365"/>
      <c r="H408" s="332"/>
    </row>
    <row r="409" spans="1:8">
      <c r="A409" s="330"/>
      <c r="B409" s="737"/>
      <c r="C409" s="738"/>
      <c r="D409" s="738"/>
      <c r="E409" s="738"/>
      <c r="F409" s="331"/>
      <c r="G409" s="355"/>
      <c r="H409" s="345"/>
    </row>
    <row r="410" spans="1:8" ht="15.75" hidden="1" customHeight="1">
      <c r="A410" s="330"/>
      <c r="B410" s="737" t="s">
        <v>774</v>
      </c>
      <c r="C410" s="738"/>
      <c r="D410" s="738"/>
      <c r="E410" s="738"/>
      <c r="F410" s="331"/>
      <c r="G410" s="355"/>
      <c r="H410" s="345" t="s">
        <v>770</v>
      </c>
    </row>
    <row r="411" spans="1:8" hidden="1">
      <c r="A411" s="330"/>
      <c r="B411" s="354" t="s">
        <v>775</v>
      </c>
      <c r="C411" s="331"/>
      <c r="D411" s="331"/>
      <c r="E411" s="331"/>
      <c r="F411" s="331"/>
      <c r="G411" s="355"/>
      <c r="H411" s="345" t="s">
        <v>770</v>
      </c>
    </row>
    <row r="412" spans="1:8">
      <c r="A412" s="330"/>
      <c r="B412" s="737"/>
      <c r="C412" s="738"/>
      <c r="D412" s="738"/>
      <c r="E412" s="738"/>
      <c r="F412" s="331"/>
      <c r="G412" s="355"/>
      <c r="H412" s="345"/>
    </row>
    <row r="413" spans="1:8" ht="27.75">
      <c r="A413" s="330"/>
      <c r="B413" s="373"/>
      <c r="C413" s="341"/>
      <c r="D413" s="739" t="s">
        <v>762</v>
      </c>
      <c r="E413" s="739"/>
      <c r="F413" s="330"/>
      <c r="G413" s="366"/>
      <c r="H413" s="339"/>
    </row>
    <row r="414" spans="1:8">
      <c r="A414" s="330"/>
      <c r="B414" s="356"/>
      <c r="G414" s="357"/>
    </row>
    <row r="415" spans="1:8">
      <c r="A415" s="330"/>
      <c r="B415" s="373"/>
      <c r="C415" s="341"/>
      <c r="D415" s="733"/>
      <c r="E415" s="733"/>
      <c r="F415" s="332"/>
      <c r="G415" s="365"/>
      <c r="H415" s="339"/>
    </row>
    <row r="416" spans="1:8">
      <c r="A416" s="330"/>
      <c r="B416" s="356"/>
      <c r="D416" s="733" t="s">
        <v>801</v>
      </c>
      <c r="E416" s="733"/>
      <c r="G416" s="357"/>
    </row>
    <row r="417" spans="1:11" ht="15.75" customHeight="1">
      <c r="A417" s="330"/>
      <c r="B417" s="730"/>
      <c r="C417" s="731"/>
      <c r="D417" s="731"/>
      <c r="E417" s="338"/>
      <c r="F417" s="338"/>
      <c r="G417" s="361"/>
      <c r="H417" s="331"/>
    </row>
    <row r="418" spans="1:11">
      <c r="A418" s="330"/>
      <c r="B418" s="730"/>
      <c r="C418" s="731"/>
      <c r="D418" s="731"/>
      <c r="E418" s="338"/>
      <c r="F418" s="338"/>
      <c r="G418" s="361"/>
      <c r="H418" s="331"/>
    </row>
    <row r="419" spans="1:11" ht="36" customHeight="1">
      <c r="A419" s="330"/>
      <c r="B419" s="356"/>
      <c r="D419" s="732" t="s">
        <v>806</v>
      </c>
      <c r="E419" s="732"/>
      <c r="F419" s="338"/>
      <c r="G419" s="361"/>
    </row>
    <row r="420" spans="1:11">
      <c r="A420" s="330"/>
      <c r="B420" s="354"/>
      <c r="C420" s="331"/>
      <c r="D420" s="331"/>
      <c r="E420" s="338"/>
      <c r="F420" s="338"/>
      <c r="G420" s="361"/>
      <c r="H420" s="331"/>
    </row>
    <row r="421" spans="1:11">
      <c r="A421" s="330"/>
      <c r="B421" s="354"/>
      <c r="C421" s="331"/>
      <c r="D421" s="733" t="s">
        <v>802</v>
      </c>
      <c r="E421" s="733"/>
      <c r="F421" s="338"/>
      <c r="G421" s="361"/>
      <c r="H421" s="331"/>
    </row>
    <row r="422" spans="1:11">
      <c r="A422" s="330"/>
      <c r="B422" s="354"/>
      <c r="C422" s="331"/>
      <c r="D422" s="734" t="s">
        <v>807</v>
      </c>
      <c r="E422" s="734"/>
      <c r="F422" s="338"/>
      <c r="G422" s="361"/>
      <c r="H422" s="331"/>
    </row>
    <row r="423" spans="1:11" ht="15.75" customHeight="1">
      <c r="A423" s="330"/>
      <c r="B423" s="735"/>
      <c r="C423" s="736"/>
      <c r="D423" s="736"/>
      <c r="E423" s="338"/>
      <c r="F423" s="338"/>
      <c r="G423" s="361"/>
    </row>
    <row r="424" spans="1:11">
      <c r="A424" s="330"/>
      <c r="B424" s="735"/>
      <c r="C424" s="736"/>
      <c r="D424" s="736"/>
      <c r="E424" s="338"/>
      <c r="F424" s="338"/>
      <c r="G424" s="361"/>
    </row>
    <row r="425" spans="1:11">
      <c r="A425" s="330"/>
      <c r="B425" s="354"/>
      <c r="C425" s="331"/>
      <c r="E425" s="338"/>
      <c r="F425" s="338"/>
      <c r="G425" s="361"/>
    </row>
    <row r="426" spans="1:11">
      <c r="A426" s="330"/>
      <c r="B426" s="737"/>
      <c r="C426" s="738"/>
      <c r="D426" s="738"/>
      <c r="E426" s="338"/>
      <c r="F426" s="338"/>
      <c r="G426" s="361"/>
      <c r="H426" s="331"/>
    </row>
    <row r="427" spans="1:11">
      <c r="A427" s="330"/>
      <c r="B427" s="356"/>
      <c r="E427" s="338"/>
      <c r="F427" s="338"/>
      <c r="G427" s="361"/>
    </row>
    <row r="428" spans="1:11">
      <c r="A428" s="330"/>
      <c r="B428" s="356"/>
      <c r="E428" s="338"/>
      <c r="F428" s="338"/>
      <c r="G428" s="361"/>
      <c r="K428" t="s">
        <v>795</v>
      </c>
    </row>
    <row r="429" spans="1:11">
      <c r="A429" s="330"/>
      <c r="B429" s="356"/>
      <c r="E429" s="338"/>
      <c r="F429" s="338"/>
      <c r="G429" s="361"/>
      <c r="H429" s="350"/>
      <c r="K429" t="s">
        <v>796</v>
      </c>
    </row>
    <row r="430" spans="1:11">
      <c r="A430" s="330"/>
      <c r="B430" s="356"/>
      <c r="E430" s="338"/>
      <c r="F430" s="338"/>
      <c r="G430" s="361"/>
    </row>
    <row r="431" spans="1:11">
      <c r="A431" s="330"/>
      <c r="B431" s="744"/>
      <c r="C431" s="745"/>
      <c r="D431" s="746"/>
      <c r="E431" s="338"/>
      <c r="F431" s="338"/>
      <c r="G431" s="361"/>
      <c r="H431" s="331"/>
    </row>
    <row r="432" spans="1:11">
      <c r="A432" s="330"/>
      <c r="B432" s="356"/>
      <c r="D432" s="357"/>
      <c r="E432" s="338"/>
      <c r="F432" s="338"/>
      <c r="G432" s="361"/>
    </row>
    <row r="433" spans="1:8">
      <c r="A433" s="330"/>
      <c r="B433" s="356"/>
      <c r="D433" s="367" t="s">
        <v>797</v>
      </c>
      <c r="E433" s="338"/>
      <c r="F433" s="338"/>
      <c r="G433" s="361"/>
    </row>
    <row r="434" spans="1:8">
      <c r="A434" s="330"/>
      <c r="B434" s="356"/>
      <c r="D434" s="357" t="s">
        <v>798</v>
      </c>
      <c r="E434" s="338"/>
      <c r="F434" s="338"/>
      <c r="G434" s="361"/>
      <c r="H434" s="351"/>
    </row>
    <row r="435" spans="1:8">
      <c r="A435" s="330"/>
      <c r="B435" s="354"/>
      <c r="C435" s="331"/>
      <c r="D435" s="355" t="s">
        <v>799</v>
      </c>
      <c r="E435" s="338"/>
      <c r="F435" s="338"/>
      <c r="G435" s="361"/>
      <c r="H435" s="331"/>
    </row>
    <row r="436" spans="1:8">
      <c r="A436" s="330"/>
      <c r="B436" s="354"/>
      <c r="C436" s="331"/>
      <c r="D436" s="355" t="s">
        <v>800</v>
      </c>
      <c r="E436" s="338"/>
      <c r="F436" s="338"/>
      <c r="G436" s="361"/>
      <c r="H436" s="331"/>
    </row>
    <row r="437" spans="1:8">
      <c r="A437" s="330"/>
      <c r="B437" s="354"/>
      <c r="C437" s="331"/>
      <c r="D437" s="355"/>
      <c r="E437" s="338"/>
      <c r="F437" s="338"/>
      <c r="G437" s="361"/>
      <c r="H437" s="331"/>
    </row>
    <row r="438" spans="1:8">
      <c r="A438" s="330"/>
      <c r="B438" s="354"/>
      <c r="C438" s="331"/>
      <c r="D438" s="355"/>
      <c r="E438" s="338"/>
      <c r="F438" s="338"/>
      <c r="G438" s="361"/>
      <c r="H438" s="331"/>
    </row>
    <row r="439" spans="1:8" ht="9.75" customHeight="1">
      <c r="A439" s="330"/>
      <c r="B439" s="368"/>
      <c r="C439" s="369"/>
      <c r="D439" s="370"/>
      <c r="E439" s="371"/>
      <c r="F439" s="371"/>
      <c r="G439" s="372"/>
      <c r="H439" s="331"/>
    </row>
    <row r="440" spans="1:8" ht="15.75" customHeight="1">
      <c r="A440" s="330"/>
      <c r="B440" s="736"/>
      <c r="C440" s="736"/>
      <c r="D440" s="736"/>
      <c r="E440" s="338"/>
      <c r="F440" s="338"/>
      <c r="G440" s="338"/>
      <c r="H440" s="345"/>
    </row>
    <row r="441" spans="1:8">
      <c r="A441" s="330"/>
      <c r="B441" s="736"/>
      <c r="C441" s="736"/>
      <c r="D441" s="736"/>
      <c r="E441" s="338"/>
      <c r="F441" s="338"/>
      <c r="G441" s="338"/>
    </row>
    <row r="442" spans="1:8">
      <c r="A442" s="328"/>
      <c r="B442" s="747"/>
      <c r="C442" s="747"/>
      <c r="D442" s="747"/>
      <c r="E442" s="747"/>
      <c r="F442" s="747"/>
      <c r="G442" s="747"/>
      <c r="H442" s="747"/>
    </row>
    <row r="443" spans="1:8">
      <c r="A443" s="329"/>
      <c r="B443" s="747"/>
      <c r="C443" s="747"/>
      <c r="D443" s="747"/>
      <c r="E443" s="747"/>
      <c r="F443" s="747"/>
      <c r="G443" s="747"/>
      <c r="H443" s="747"/>
    </row>
    <row r="444" spans="1:8" ht="10.5" customHeight="1">
      <c r="A444" s="330"/>
      <c r="B444" s="748"/>
      <c r="C444" s="749"/>
      <c r="D444" s="749"/>
      <c r="E444" s="749"/>
      <c r="F444" s="352"/>
      <c r="G444" s="353"/>
      <c r="H444" s="332"/>
    </row>
    <row r="445" spans="1:8">
      <c r="A445" s="330"/>
      <c r="B445" s="354"/>
      <c r="C445" s="331"/>
      <c r="D445" s="331"/>
      <c r="E445" s="331"/>
      <c r="F445" s="331"/>
      <c r="G445" s="355"/>
      <c r="H445" s="331"/>
    </row>
    <row r="446" spans="1:8">
      <c r="A446" s="330"/>
      <c r="B446" s="354"/>
      <c r="C446" s="331"/>
      <c r="D446" s="331"/>
      <c r="E446" s="331"/>
      <c r="F446" s="331"/>
      <c r="G446" s="355"/>
      <c r="H446" s="331"/>
    </row>
    <row r="447" spans="1:8">
      <c r="A447" s="330"/>
      <c r="B447" s="737"/>
      <c r="C447" s="738"/>
      <c r="D447" s="738"/>
      <c r="E447" s="738"/>
      <c r="F447" s="331"/>
      <c r="G447" s="355"/>
      <c r="H447" s="331"/>
    </row>
    <row r="448" spans="1:8">
      <c r="A448" s="330"/>
      <c r="B448" s="354"/>
      <c r="C448" s="331"/>
      <c r="D448" s="331"/>
      <c r="E448" s="331"/>
      <c r="F448" s="331"/>
      <c r="G448" s="355"/>
      <c r="H448" s="331"/>
    </row>
    <row r="449" spans="1:8">
      <c r="A449" s="330"/>
      <c r="B449" s="354"/>
      <c r="C449" s="331"/>
      <c r="D449" s="331"/>
      <c r="E449" s="331"/>
      <c r="F449" s="331"/>
      <c r="G449" s="355"/>
      <c r="H449" s="331"/>
    </row>
    <row r="450" spans="1:8">
      <c r="A450" s="330"/>
      <c r="B450" s="354"/>
      <c r="C450" s="331"/>
      <c r="D450" s="331"/>
      <c r="E450" s="331"/>
      <c r="F450" s="331"/>
      <c r="G450" s="355"/>
      <c r="H450" s="331"/>
    </row>
    <row r="451" spans="1:8" ht="30" customHeight="1">
      <c r="A451" s="330"/>
      <c r="B451" s="356"/>
      <c r="D451" s="1079" t="s">
        <v>1531</v>
      </c>
      <c r="E451" s="1079"/>
      <c r="F451" s="331"/>
      <c r="G451" s="355"/>
      <c r="H451" s="331"/>
    </row>
    <row r="452" spans="1:8">
      <c r="A452" s="330"/>
      <c r="B452" s="354"/>
      <c r="C452" s="331"/>
      <c r="D452" s="1079"/>
      <c r="E452" s="1079"/>
      <c r="F452" s="331"/>
      <c r="G452" s="355"/>
      <c r="H452" s="331"/>
    </row>
    <row r="453" spans="1:8">
      <c r="A453" s="330"/>
      <c r="B453" s="354"/>
      <c r="C453" s="331"/>
      <c r="D453" s="1079"/>
      <c r="E453" s="1079"/>
      <c r="F453" s="331"/>
      <c r="G453" s="355"/>
      <c r="H453" s="331"/>
    </row>
    <row r="454" spans="1:8" ht="26.25" customHeight="1">
      <c r="A454" s="330"/>
      <c r="B454" s="354"/>
      <c r="C454" s="331"/>
      <c r="D454" s="1079"/>
      <c r="E454" s="1079"/>
      <c r="F454" s="331"/>
      <c r="G454" s="355"/>
      <c r="H454" s="331"/>
    </row>
    <row r="455" spans="1:8">
      <c r="A455" s="330"/>
      <c r="B455" s="354"/>
      <c r="C455" s="331"/>
      <c r="D455" s="1079"/>
      <c r="E455" s="1079"/>
      <c r="F455" s="331"/>
      <c r="G455" s="355"/>
      <c r="H455" s="331"/>
    </row>
    <row r="456" spans="1:8" ht="27.75" customHeight="1">
      <c r="A456" s="330"/>
      <c r="B456" s="354"/>
      <c r="C456" s="331"/>
      <c r="D456" s="1079"/>
      <c r="E456" s="1079"/>
      <c r="F456" s="331"/>
      <c r="G456" s="355"/>
      <c r="H456" s="331"/>
    </row>
    <row r="457" spans="1:8" ht="7.5" customHeight="1">
      <c r="A457" s="330"/>
      <c r="B457" s="354"/>
      <c r="C457" s="331"/>
      <c r="D457" s="332"/>
      <c r="E457" s="332"/>
      <c r="F457" s="331"/>
      <c r="G457" s="355"/>
      <c r="H457" s="331"/>
    </row>
    <row r="458" spans="1:8">
      <c r="A458" s="330"/>
      <c r="B458" s="356"/>
      <c r="D458" s="331"/>
      <c r="E458" s="331"/>
      <c r="F458" s="331"/>
      <c r="G458" s="355"/>
      <c r="H458" s="331"/>
    </row>
    <row r="459" spans="1:8">
      <c r="A459" s="330"/>
      <c r="B459" s="354"/>
      <c r="C459" s="331"/>
      <c r="D459" s="332"/>
      <c r="E459" s="332"/>
      <c r="F459" s="331"/>
      <c r="G459" s="355"/>
      <c r="H459" s="331"/>
    </row>
    <row r="460" spans="1:8">
      <c r="A460" s="330"/>
      <c r="B460" s="354"/>
      <c r="C460" s="331"/>
      <c r="D460" s="331"/>
      <c r="E460" s="331"/>
      <c r="F460" s="331"/>
      <c r="G460" s="355"/>
      <c r="H460" s="333"/>
    </row>
    <row r="461" spans="1:8">
      <c r="A461" s="330"/>
      <c r="B461" s="354"/>
      <c r="C461" s="331"/>
      <c r="D461" s="331"/>
      <c r="E461" s="331"/>
      <c r="F461" s="331"/>
      <c r="G461" s="355"/>
      <c r="H461" s="333"/>
    </row>
    <row r="462" spans="1:8">
      <c r="A462" s="330"/>
      <c r="B462" s="354"/>
      <c r="C462" s="331"/>
      <c r="D462" s="331"/>
      <c r="E462" s="331"/>
      <c r="F462" s="331"/>
      <c r="G462" s="355"/>
      <c r="H462" s="333"/>
    </row>
    <row r="463" spans="1:8">
      <c r="A463" s="330"/>
      <c r="B463" s="354"/>
      <c r="C463" s="331"/>
      <c r="D463" s="331"/>
      <c r="E463" s="331"/>
      <c r="F463" s="331"/>
      <c r="G463" s="355"/>
      <c r="H463" s="333"/>
    </row>
    <row r="464" spans="1:8">
      <c r="A464" s="330"/>
      <c r="B464" s="356"/>
      <c r="G464" s="357"/>
      <c r="H464" s="333"/>
    </row>
    <row r="465" spans="1:8" ht="15.75" customHeight="1">
      <c r="A465" s="337"/>
      <c r="B465" s="752"/>
      <c r="C465" s="753"/>
      <c r="D465" s="753"/>
      <c r="E465" s="753"/>
      <c r="F465" s="358"/>
      <c r="G465" s="359"/>
      <c r="H465" s="360"/>
    </row>
    <row r="466" spans="1:8">
      <c r="A466" s="330"/>
      <c r="B466" s="356"/>
      <c r="G466" s="357"/>
    </row>
    <row r="467" spans="1:8">
      <c r="A467" s="330"/>
      <c r="B467" s="354"/>
      <c r="C467" s="331"/>
      <c r="D467" s="331"/>
      <c r="E467" s="338"/>
      <c r="F467" s="338"/>
      <c r="G467" s="361"/>
      <c r="H467" s="339"/>
    </row>
    <row r="468" spans="1:8" ht="15.75" customHeight="1">
      <c r="A468" s="330"/>
      <c r="B468" s="730"/>
      <c r="C468" s="731"/>
      <c r="D468" s="731"/>
      <c r="E468" s="731"/>
      <c r="F468" s="343"/>
      <c r="G468" s="362"/>
      <c r="H468" s="743"/>
    </row>
    <row r="469" spans="1:8">
      <c r="A469" s="330"/>
      <c r="B469" s="730"/>
      <c r="C469" s="731"/>
      <c r="D469" s="731"/>
      <c r="E469" s="731"/>
      <c r="F469" s="343"/>
      <c r="G469" s="362"/>
      <c r="H469" s="743"/>
    </row>
    <row r="470" spans="1:8">
      <c r="A470" s="330"/>
      <c r="B470" s="363"/>
      <c r="C470" s="343"/>
      <c r="D470" s="343"/>
      <c r="E470" s="343"/>
      <c r="F470" s="343"/>
      <c r="G470" s="362"/>
      <c r="H470" s="344"/>
    </row>
    <row r="471" spans="1:8">
      <c r="A471" s="330"/>
      <c r="B471" s="364"/>
      <c r="C471" s="332"/>
      <c r="D471" s="332"/>
      <c r="E471" s="332"/>
      <c r="F471" s="332"/>
      <c r="G471" s="365"/>
      <c r="H471" s="332"/>
    </row>
    <row r="472" spans="1:8">
      <c r="A472" s="330"/>
      <c r="B472" s="737"/>
      <c r="C472" s="738"/>
      <c r="D472" s="738"/>
      <c r="E472" s="738"/>
      <c r="F472" s="331"/>
      <c r="G472" s="355"/>
      <c r="H472" s="345"/>
    </row>
    <row r="473" spans="1:8" ht="15.75" hidden="1" customHeight="1">
      <c r="A473" s="330"/>
      <c r="B473" s="737" t="s">
        <v>774</v>
      </c>
      <c r="C473" s="738"/>
      <c r="D473" s="738"/>
      <c r="E473" s="738"/>
      <c r="F473" s="331"/>
      <c r="G473" s="355"/>
      <c r="H473" s="345" t="s">
        <v>770</v>
      </c>
    </row>
    <row r="474" spans="1:8" hidden="1">
      <c r="A474" s="330"/>
      <c r="B474" s="354" t="s">
        <v>775</v>
      </c>
      <c r="C474" s="331"/>
      <c r="D474" s="331"/>
      <c r="E474" s="331"/>
      <c r="F474" s="331"/>
      <c r="G474" s="355"/>
      <c r="H474" s="345" t="s">
        <v>770</v>
      </c>
    </row>
    <row r="475" spans="1:8">
      <c r="A475" s="330"/>
      <c r="B475" s="737"/>
      <c r="C475" s="738"/>
      <c r="D475" s="738"/>
      <c r="E475" s="738"/>
      <c r="F475" s="331"/>
      <c r="G475" s="355"/>
      <c r="H475" s="345"/>
    </row>
    <row r="476" spans="1:8" ht="27.75">
      <c r="A476" s="330"/>
      <c r="B476" s="373"/>
      <c r="C476" s="341"/>
      <c r="D476" s="739" t="s">
        <v>762</v>
      </c>
      <c r="E476" s="739"/>
      <c r="F476" s="330"/>
      <c r="G476" s="366"/>
      <c r="H476" s="339"/>
    </row>
    <row r="477" spans="1:8">
      <c r="A477" s="330"/>
      <c r="B477" s="356"/>
      <c r="G477" s="357"/>
    </row>
    <row r="478" spans="1:8">
      <c r="A478" s="330"/>
      <c r="B478" s="373"/>
      <c r="C478" s="341"/>
      <c r="D478" s="733"/>
      <c r="E478" s="733"/>
      <c r="F478" s="332"/>
      <c r="G478" s="365"/>
      <c r="H478" s="339"/>
    </row>
    <row r="479" spans="1:8">
      <c r="A479" s="330"/>
      <c r="B479" s="356"/>
      <c r="D479" s="733" t="s">
        <v>801</v>
      </c>
      <c r="E479" s="733"/>
      <c r="G479" s="357"/>
    </row>
    <row r="480" spans="1:8" ht="15.75" customHeight="1">
      <c r="A480" s="330"/>
      <c r="B480" s="730"/>
      <c r="C480" s="731"/>
      <c r="D480" s="731"/>
      <c r="E480" s="338"/>
      <c r="F480" s="338"/>
      <c r="G480" s="361"/>
      <c r="H480" s="331"/>
    </row>
    <row r="481" spans="1:11">
      <c r="A481" s="330"/>
      <c r="B481" s="730"/>
      <c r="C481" s="731"/>
      <c r="D481" s="731"/>
      <c r="E481" s="338"/>
      <c r="F481" s="338"/>
      <c r="G481" s="361"/>
      <c r="H481" s="331"/>
    </row>
    <row r="482" spans="1:11" ht="36" customHeight="1">
      <c r="A482" s="330"/>
      <c r="B482" s="356"/>
      <c r="D482" s="732" t="s">
        <v>806</v>
      </c>
      <c r="E482" s="732"/>
      <c r="F482" s="338"/>
      <c r="G482" s="361"/>
    </row>
    <row r="483" spans="1:11">
      <c r="A483" s="330"/>
      <c r="B483" s="354"/>
      <c r="C483" s="331"/>
      <c r="D483" s="331"/>
      <c r="E483" s="338"/>
      <c r="F483" s="338"/>
      <c r="G483" s="361"/>
      <c r="H483" s="331"/>
    </row>
    <row r="484" spans="1:11">
      <c r="A484" s="330"/>
      <c r="B484" s="354"/>
      <c r="C484" s="331"/>
      <c r="D484" s="733" t="s">
        <v>802</v>
      </c>
      <c r="E484" s="733"/>
      <c r="F484" s="338"/>
      <c r="G484" s="361"/>
      <c r="H484" s="331"/>
    </row>
    <row r="485" spans="1:11">
      <c r="A485" s="330"/>
      <c r="B485" s="354"/>
      <c r="C485" s="331"/>
      <c r="D485" s="734" t="s">
        <v>807</v>
      </c>
      <c r="E485" s="734"/>
      <c r="F485" s="338"/>
      <c r="G485" s="361"/>
      <c r="H485" s="331"/>
    </row>
    <row r="486" spans="1:11" ht="15.75" customHeight="1">
      <c r="A486" s="330"/>
      <c r="B486" s="735"/>
      <c r="C486" s="736"/>
      <c r="D486" s="736"/>
      <c r="E486" s="338"/>
      <c r="F486" s="338"/>
      <c r="G486" s="361"/>
    </row>
    <row r="487" spans="1:11">
      <c r="A487" s="330"/>
      <c r="B487" s="735"/>
      <c r="C487" s="736"/>
      <c r="D487" s="736"/>
      <c r="E487" s="338"/>
      <c r="F487" s="338"/>
      <c r="G487" s="361"/>
    </row>
    <row r="488" spans="1:11">
      <c r="A488" s="330"/>
      <c r="B488" s="354"/>
      <c r="C488" s="331"/>
      <c r="E488" s="338"/>
      <c r="F488" s="338"/>
      <c r="G488" s="361"/>
    </row>
    <row r="489" spans="1:11">
      <c r="A489" s="330"/>
      <c r="B489" s="737"/>
      <c r="C489" s="738"/>
      <c r="D489" s="738"/>
      <c r="E489" s="338"/>
      <c r="F489" s="338"/>
      <c r="G489" s="361"/>
      <c r="H489" s="331"/>
    </row>
    <row r="490" spans="1:11">
      <c r="A490" s="330"/>
      <c r="B490" s="356"/>
      <c r="E490" s="338"/>
      <c r="F490" s="338"/>
      <c r="G490" s="361"/>
    </row>
    <row r="491" spans="1:11">
      <c r="A491" s="330"/>
      <c r="B491" s="356"/>
      <c r="E491" s="338"/>
      <c r="F491" s="338"/>
      <c r="G491" s="361"/>
      <c r="K491" t="s">
        <v>795</v>
      </c>
    </row>
    <row r="492" spans="1:11">
      <c r="A492" s="330"/>
      <c r="B492" s="356"/>
      <c r="E492" s="338"/>
      <c r="F492" s="338"/>
      <c r="G492" s="361"/>
      <c r="H492" s="350"/>
      <c r="K492" t="s">
        <v>796</v>
      </c>
    </row>
    <row r="493" spans="1:11">
      <c r="A493" s="330"/>
      <c r="B493" s="356"/>
      <c r="E493" s="338"/>
      <c r="F493" s="338"/>
      <c r="G493" s="361"/>
    </row>
    <row r="494" spans="1:11">
      <c r="A494" s="330"/>
      <c r="B494" s="744"/>
      <c r="C494" s="745"/>
      <c r="D494" s="746"/>
      <c r="E494" s="338"/>
      <c r="F494" s="338"/>
      <c r="G494" s="361"/>
      <c r="H494" s="331"/>
    </row>
    <row r="495" spans="1:11">
      <c r="A495" s="330"/>
      <c r="B495" s="356"/>
      <c r="D495" s="357"/>
      <c r="E495" s="338"/>
      <c r="F495" s="338"/>
      <c r="G495" s="361"/>
    </row>
    <row r="496" spans="1:11">
      <c r="A496" s="330"/>
      <c r="B496" s="356"/>
      <c r="D496" s="367" t="s">
        <v>797</v>
      </c>
      <c r="E496" s="338"/>
      <c r="F496" s="338"/>
      <c r="G496" s="361"/>
    </row>
    <row r="497" spans="1:8">
      <c r="A497" s="330"/>
      <c r="B497" s="356"/>
      <c r="D497" s="357" t="s">
        <v>798</v>
      </c>
      <c r="E497" s="338"/>
      <c r="F497" s="338"/>
      <c r="G497" s="361"/>
      <c r="H497" s="351"/>
    </row>
    <row r="498" spans="1:8">
      <c r="A498" s="330"/>
      <c r="B498" s="354"/>
      <c r="C498" s="331"/>
      <c r="D498" s="355" t="s">
        <v>799</v>
      </c>
      <c r="E498" s="338"/>
      <c r="F498" s="338"/>
      <c r="G498" s="361"/>
      <c r="H498" s="331"/>
    </row>
    <row r="499" spans="1:8">
      <c r="A499" s="330"/>
      <c r="B499" s="354"/>
      <c r="C499" s="331"/>
      <c r="D499" s="355" t="s">
        <v>800</v>
      </c>
      <c r="E499" s="338"/>
      <c r="F499" s="338"/>
      <c r="G499" s="361"/>
      <c r="H499" s="331"/>
    </row>
    <row r="500" spans="1:8">
      <c r="A500" s="330"/>
      <c r="B500" s="354"/>
      <c r="C500" s="331"/>
      <c r="D500" s="355"/>
      <c r="E500" s="338"/>
      <c r="F500" s="338"/>
      <c r="G500" s="361"/>
      <c r="H500" s="331"/>
    </row>
    <row r="501" spans="1:8">
      <c r="A501" s="330"/>
      <c r="B501" s="354"/>
      <c r="C501" s="331"/>
      <c r="D501" s="355"/>
      <c r="E501" s="338"/>
      <c r="F501" s="338"/>
      <c r="G501" s="361"/>
      <c r="H501" s="331"/>
    </row>
    <row r="502" spans="1:8" ht="9.75" customHeight="1">
      <c r="A502" s="330"/>
      <c r="B502" s="368"/>
      <c r="C502" s="369"/>
      <c r="D502" s="370"/>
      <c r="E502" s="371"/>
      <c r="F502" s="371"/>
      <c r="G502" s="372"/>
      <c r="H502" s="331"/>
    </row>
    <row r="503" spans="1:8" ht="15.75" customHeight="1">
      <c r="A503" s="330"/>
      <c r="B503" s="736"/>
      <c r="C503" s="736"/>
      <c r="D503" s="736"/>
      <c r="E503" s="338"/>
      <c r="F503" s="338"/>
      <c r="G503" s="338"/>
      <c r="H503" s="345"/>
    </row>
    <row r="504" spans="1:8">
      <c r="A504" s="330"/>
      <c r="B504" s="736"/>
      <c r="C504" s="736"/>
      <c r="D504" s="736"/>
      <c r="E504" s="338"/>
      <c r="F504" s="338"/>
      <c r="G504" s="338"/>
    </row>
    <row r="505" spans="1:8">
      <c r="A505" s="328"/>
      <c r="B505" s="747"/>
      <c r="C505" s="747"/>
      <c r="D505" s="747"/>
      <c r="E505" s="747"/>
      <c r="F505" s="747"/>
      <c r="G505" s="747"/>
      <c r="H505" s="747"/>
    </row>
    <row r="506" spans="1:8">
      <c r="A506" s="329"/>
      <c r="B506" s="747"/>
      <c r="C506" s="747"/>
      <c r="D506" s="747"/>
      <c r="E506" s="747"/>
      <c r="F506" s="747"/>
      <c r="G506" s="747"/>
      <c r="H506" s="747"/>
    </row>
    <row r="507" spans="1:8" ht="10.5" customHeight="1">
      <c r="A507" s="330"/>
      <c r="B507" s="748"/>
      <c r="C507" s="749"/>
      <c r="D507" s="749"/>
      <c r="E507" s="749"/>
      <c r="F507" s="352"/>
      <c r="G507" s="353"/>
      <c r="H507" s="332"/>
    </row>
    <row r="508" spans="1:8">
      <c r="A508" s="330"/>
      <c r="B508" s="354"/>
      <c r="C508" s="331"/>
      <c r="D508" s="331"/>
      <c r="E508" s="331"/>
      <c r="F508" s="331"/>
      <c r="G508" s="355"/>
      <c r="H508" s="331"/>
    </row>
    <row r="509" spans="1:8">
      <c r="A509" s="330"/>
      <c r="B509" s="354"/>
      <c r="C509" s="331"/>
      <c r="D509" s="331"/>
      <c r="E509" s="331"/>
      <c r="F509" s="331"/>
      <c r="G509" s="355"/>
      <c r="H509" s="331"/>
    </row>
    <row r="510" spans="1:8">
      <c r="A510" s="330"/>
      <c r="B510" s="737"/>
      <c r="C510" s="738"/>
      <c r="D510" s="738"/>
      <c r="E510" s="738"/>
      <c r="F510" s="331"/>
      <c r="G510" s="355"/>
      <c r="H510" s="331"/>
    </row>
    <row r="511" spans="1:8">
      <c r="A511" s="330"/>
      <c r="B511" s="354"/>
      <c r="C511" s="331"/>
      <c r="D511" s="331"/>
      <c r="E511" s="331"/>
      <c r="F511" s="331"/>
      <c r="G511" s="355"/>
      <c r="H511" s="331"/>
    </row>
    <row r="512" spans="1:8">
      <c r="A512" s="330"/>
      <c r="B512" s="354"/>
      <c r="C512" s="331"/>
      <c r="D512" s="331"/>
      <c r="E512" s="331"/>
      <c r="F512" s="331"/>
      <c r="G512" s="355"/>
      <c r="H512" s="331"/>
    </row>
    <row r="513" spans="1:8">
      <c r="A513" s="330"/>
      <c r="B513" s="354"/>
      <c r="C513" s="331"/>
      <c r="D513" s="751" t="s">
        <v>1533</v>
      </c>
      <c r="E513" s="751"/>
      <c r="F513" s="331"/>
      <c r="G513" s="355"/>
      <c r="H513" s="331"/>
    </row>
    <row r="514" spans="1:8" ht="30" customHeight="1">
      <c r="A514" s="330"/>
      <c r="B514" s="356"/>
      <c r="D514" s="751"/>
      <c r="E514" s="751"/>
      <c r="F514" s="331"/>
      <c r="G514" s="355"/>
      <c r="H514" s="331"/>
    </row>
    <row r="515" spans="1:8" ht="15.75" customHeight="1">
      <c r="A515" s="330"/>
      <c r="B515" s="354"/>
      <c r="C515" s="331"/>
      <c r="D515" s="751"/>
      <c r="E515" s="751"/>
      <c r="F515" s="331"/>
      <c r="G515" s="355"/>
      <c r="H515" s="331"/>
    </row>
    <row r="516" spans="1:8" ht="15.75" customHeight="1">
      <c r="A516" s="330"/>
      <c r="B516" s="354"/>
      <c r="C516" s="331"/>
      <c r="D516" s="751"/>
      <c r="E516" s="751"/>
      <c r="F516" s="331"/>
      <c r="G516" s="355"/>
      <c r="H516" s="331"/>
    </row>
    <row r="517" spans="1:8" ht="26.25" customHeight="1">
      <c r="A517" s="330"/>
      <c r="B517" s="354"/>
      <c r="C517" s="331"/>
      <c r="D517" s="751"/>
      <c r="E517" s="751"/>
      <c r="F517" s="331"/>
      <c r="G517" s="355"/>
      <c r="H517" s="331"/>
    </row>
    <row r="518" spans="1:8" ht="15.75" customHeight="1">
      <c r="A518" s="330"/>
      <c r="B518" s="354"/>
      <c r="C518" s="331"/>
      <c r="D518" s="751"/>
      <c r="E518" s="751"/>
      <c r="F518" s="331"/>
      <c r="G518" s="355"/>
      <c r="H518" s="331"/>
    </row>
    <row r="519" spans="1:8" ht="27.75" customHeight="1">
      <c r="A519" s="330"/>
      <c r="B519" s="354"/>
      <c r="C519" s="331"/>
      <c r="D519" s="751"/>
      <c r="E519" s="751"/>
      <c r="F519" s="331"/>
      <c r="G519" s="355"/>
      <c r="H519" s="331"/>
    </row>
    <row r="520" spans="1:8" ht="7.5" customHeight="1">
      <c r="A520" s="330"/>
      <c r="B520" s="354"/>
      <c r="C520" s="331"/>
      <c r="D520" s="751"/>
      <c r="E520" s="751"/>
      <c r="F520" s="331"/>
      <c r="G520" s="355"/>
      <c r="H520" s="331"/>
    </row>
    <row r="521" spans="1:8">
      <c r="A521" s="330"/>
      <c r="B521" s="356"/>
      <c r="D521" s="751"/>
      <c r="E521" s="751"/>
      <c r="F521" s="331"/>
      <c r="G521" s="355"/>
      <c r="H521" s="331"/>
    </row>
    <row r="522" spans="1:8">
      <c r="A522" s="330"/>
      <c r="B522" s="354"/>
      <c r="C522" s="331"/>
      <c r="D522" s="332"/>
      <c r="E522" s="332"/>
      <c r="F522" s="331"/>
      <c r="G522" s="355"/>
      <c r="H522" s="331"/>
    </row>
    <row r="523" spans="1:8">
      <c r="A523" s="330"/>
      <c r="B523" s="354"/>
      <c r="C523" s="331"/>
      <c r="D523" s="331"/>
      <c r="E523" s="331"/>
      <c r="F523" s="331"/>
      <c r="G523" s="355"/>
      <c r="H523" s="333"/>
    </row>
    <row r="524" spans="1:8">
      <c r="A524" s="330"/>
      <c r="B524" s="354"/>
      <c r="C524" s="331"/>
      <c r="D524" s="331"/>
      <c r="E524" s="331"/>
      <c r="F524" s="331"/>
      <c r="G524" s="355"/>
      <c r="H524" s="333"/>
    </row>
    <row r="525" spans="1:8">
      <c r="A525" s="330"/>
      <c r="B525" s="354"/>
      <c r="C525" s="331"/>
      <c r="D525" s="331"/>
      <c r="E525" s="331"/>
      <c r="F525" s="331"/>
      <c r="G525" s="355"/>
      <c r="H525" s="333"/>
    </row>
    <row r="526" spans="1:8">
      <c r="A526" s="330"/>
      <c r="B526" s="354"/>
      <c r="C526" s="331"/>
      <c r="D526" s="331"/>
      <c r="E526" s="331"/>
      <c r="F526" s="331"/>
      <c r="G526" s="355"/>
      <c r="H526" s="333"/>
    </row>
    <row r="527" spans="1:8">
      <c r="A527" s="330"/>
      <c r="B527" s="356"/>
      <c r="G527" s="357"/>
      <c r="H527" s="333"/>
    </row>
    <row r="528" spans="1:8" ht="15.75" customHeight="1">
      <c r="A528" s="337"/>
      <c r="B528" s="752"/>
      <c r="C528" s="753"/>
      <c r="D528" s="753"/>
      <c r="E528" s="753"/>
      <c r="F528" s="358"/>
      <c r="G528" s="359"/>
      <c r="H528" s="360"/>
    </row>
    <row r="529" spans="1:8">
      <c r="A529" s="330"/>
      <c r="B529" s="356"/>
      <c r="G529" s="357"/>
    </row>
    <row r="530" spans="1:8">
      <c r="A530" s="330"/>
      <c r="B530" s="354"/>
      <c r="C530" s="331"/>
      <c r="D530" s="331"/>
      <c r="E530" s="338"/>
      <c r="F530" s="338"/>
      <c r="G530" s="361"/>
      <c r="H530" s="339"/>
    </row>
    <row r="531" spans="1:8" ht="15.75" customHeight="1">
      <c r="A531" s="330"/>
      <c r="B531" s="730"/>
      <c r="C531" s="731"/>
      <c r="D531" s="731"/>
      <c r="E531" s="731"/>
      <c r="F531" s="343"/>
      <c r="G531" s="362"/>
      <c r="H531" s="743"/>
    </row>
    <row r="532" spans="1:8">
      <c r="A532" s="330"/>
      <c r="B532" s="730"/>
      <c r="C532" s="731"/>
      <c r="D532" s="731"/>
      <c r="E532" s="731"/>
      <c r="F532" s="343"/>
      <c r="G532" s="362"/>
      <c r="H532" s="743"/>
    </row>
    <row r="533" spans="1:8">
      <c r="A533" s="330"/>
      <c r="B533" s="363"/>
      <c r="C533" s="343"/>
      <c r="D533" s="343"/>
      <c r="E533" s="343"/>
      <c r="F533" s="343"/>
      <c r="G533" s="362"/>
      <c r="H533" s="344"/>
    </row>
    <row r="534" spans="1:8">
      <c r="A534" s="330"/>
      <c r="B534" s="364"/>
      <c r="C534" s="332"/>
      <c r="D534" s="332"/>
      <c r="E534" s="332"/>
      <c r="F534" s="332"/>
      <c r="G534" s="365"/>
      <c r="H534" s="332"/>
    </row>
    <row r="535" spans="1:8">
      <c r="A535" s="330"/>
      <c r="B535" s="737"/>
      <c r="C535" s="738"/>
      <c r="D535" s="738"/>
      <c r="E535" s="738"/>
      <c r="F535" s="331"/>
      <c r="G535" s="355"/>
      <c r="H535" s="345"/>
    </row>
    <row r="536" spans="1:8" ht="15.75" hidden="1" customHeight="1">
      <c r="A536" s="330"/>
      <c r="B536" s="737" t="s">
        <v>774</v>
      </c>
      <c r="C536" s="738"/>
      <c r="D536" s="738"/>
      <c r="E536" s="738"/>
      <c r="F536" s="331"/>
      <c r="G536" s="355"/>
      <c r="H536" s="345" t="s">
        <v>770</v>
      </c>
    </row>
    <row r="537" spans="1:8" hidden="1">
      <c r="A537" s="330"/>
      <c r="B537" s="354" t="s">
        <v>775</v>
      </c>
      <c r="C537" s="331"/>
      <c r="D537" s="331"/>
      <c r="E537" s="331"/>
      <c r="F537" s="331"/>
      <c r="G537" s="355"/>
      <c r="H537" s="345" t="s">
        <v>770</v>
      </c>
    </row>
    <row r="538" spans="1:8">
      <c r="A538" s="330"/>
      <c r="B538" s="737"/>
      <c r="C538" s="738"/>
      <c r="D538" s="738"/>
      <c r="E538" s="738"/>
      <c r="F538" s="331"/>
      <c r="G538" s="355"/>
      <c r="H538" s="345"/>
    </row>
    <row r="539" spans="1:8" ht="27.75">
      <c r="A539" s="330"/>
      <c r="B539" s="373"/>
      <c r="C539" s="341"/>
      <c r="D539" s="739" t="s">
        <v>762</v>
      </c>
      <c r="E539" s="739"/>
      <c r="F539" s="330"/>
      <c r="G539" s="366"/>
      <c r="H539" s="339"/>
    </row>
    <row r="540" spans="1:8">
      <c r="A540" s="330"/>
      <c r="B540" s="356"/>
      <c r="G540" s="357"/>
    </row>
    <row r="541" spans="1:8">
      <c r="A541" s="330"/>
      <c r="B541" s="373"/>
      <c r="C541" s="341"/>
      <c r="D541" s="733"/>
      <c r="E541" s="733"/>
      <c r="F541" s="332"/>
      <c r="G541" s="365"/>
      <c r="H541" s="339"/>
    </row>
    <row r="542" spans="1:8">
      <c r="A542" s="330"/>
      <c r="B542" s="356"/>
      <c r="D542" s="733" t="s">
        <v>801</v>
      </c>
      <c r="E542" s="733"/>
      <c r="G542" s="357"/>
    </row>
    <row r="543" spans="1:8" ht="15.75" customHeight="1">
      <c r="A543" s="330"/>
      <c r="B543" s="730"/>
      <c r="C543" s="731"/>
      <c r="D543" s="731"/>
      <c r="E543" s="338"/>
      <c r="F543" s="338"/>
      <c r="G543" s="361"/>
      <c r="H543" s="331"/>
    </row>
    <row r="544" spans="1:8">
      <c r="A544" s="330"/>
      <c r="B544" s="730"/>
      <c r="C544" s="731"/>
      <c r="D544" s="731"/>
      <c r="E544" s="338"/>
      <c r="F544" s="338"/>
      <c r="G544" s="361"/>
      <c r="H544" s="331"/>
    </row>
    <row r="545" spans="1:11" ht="36" customHeight="1">
      <c r="A545" s="330"/>
      <c r="B545" s="356"/>
      <c r="D545" s="732" t="s">
        <v>806</v>
      </c>
      <c r="E545" s="732"/>
      <c r="F545" s="338"/>
      <c r="G545" s="361"/>
    </row>
    <row r="546" spans="1:11">
      <c r="A546" s="330"/>
      <c r="B546" s="354"/>
      <c r="C546" s="331"/>
      <c r="D546" s="331"/>
      <c r="E546" s="338"/>
      <c r="F546" s="338"/>
      <c r="G546" s="361"/>
      <c r="H546" s="331"/>
    </row>
    <row r="547" spans="1:11">
      <c r="A547" s="330"/>
      <c r="B547" s="354"/>
      <c r="C547" s="331"/>
      <c r="D547" s="733" t="s">
        <v>802</v>
      </c>
      <c r="E547" s="733"/>
      <c r="F547" s="338"/>
      <c r="G547" s="361"/>
      <c r="H547" s="331"/>
    </row>
    <row r="548" spans="1:11">
      <c r="A548" s="330"/>
      <c r="B548" s="354"/>
      <c r="C548" s="331"/>
      <c r="D548" s="734" t="s">
        <v>807</v>
      </c>
      <c r="E548" s="734"/>
      <c r="F548" s="338"/>
      <c r="G548" s="361"/>
      <c r="H548" s="331"/>
    </row>
    <row r="549" spans="1:11" ht="15.75" customHeight="1">
      <c r="A549" s="330"/>
      <c r="B549" s="735"/>
      <c r="C549" s="736"/>
      <c r="D549" s="736"/>
      <c r="E549" s="338"/>
      <c r="F549" s="338"/>
      <c r="G549" s="361"/>
    </row>
    <row r="550" spans="1:11">
      <c r="A550" s="330"/>
      <c r="B550" s="735"/>
      <c r="C550" s="736"/>
      <c r="D550" s="736"/>
      <c r="E550" s="338"/>
      <c r="F550" s="338"/>
      <c r="G550" s="361"/>
    </row>
    <row r="551" spans="1:11">
      <c r="A551" s="330"/>
      <c r="B551" s="354"/>
      <c r="C551" s="331"/>
      <c r="E551" s="338"/>
      <c r="F551" s="338"/>
      <c r="G551" s="361"/>
    </row>
    <row r="552" spans="1:11">
      <c r="A552" s="330"/>
      <c r="B552" s="737"/>
      <c r="C552" s="738"/>
      <c r="D552" s="738"/>
      <c r="E552" s="338"/>
      <c r="F552" s="338"/>
      <c r="G552" s="361"/>
      <c r="H552" s="331"/>
    </row>
    <row r="553" spans="1:11">
      <c r="A553" s="330"/>
      <c r="B553" s="356"/>
      <c r="E553" s="338"/>
      <c r="F553" s="338"/>
      <c r="G553" s="361"/>
    </row>
    <row r="554" spans="1:11">
      <c r="A554" s="330"/>
      <c r="B554" s="356"/>
      <c r="E554" s="338"/>
      <c r="F554" s="338"/>
      <c r="G554" s="361"/>
      <c r="K554" t="s">
        <v>795</v>
      </c>
    </row>
    <row r="555" spans="1:11">
      <c r="A555" s="330"/>
      <c r="B555" s="356"/>
      <c r="E555" s="338"/>
      <c r="F555" s="338"/>
      <c r="G555" s="361"/>
      <c r="H555" s="350"/>
      <c r="K555" t="s">
        <v>796</v>
      </c>
    </row>
    <row r="556" spans="1:11">
      <c r="A556" s="330"/>
      <c r="B556" s="356"/>
      <c r="E556" s="338"/>
      <c r="F556" s="338"/>
      <c r="G556" s="361"/>
    </row>
    <row r="557" spans="1:11">
      <c r="A557" s="330"/>
      <c r="B557" s="744"/>
      <c r="C557" s="745"/>
      <c r="D557" s="746"/>
      <c r="E557" s="338"/>
      <c r="F557" s="338"/>
      <c r="G557" s="361"/>
      <c r="H557" s="331"/>
    </row>
    <row r="558" spans="1:11">
      <c r="A558" s="330"/>
      <c r="B558" s="356"/>
      <c r="D558" s="357"/>
      <c r="E558" s="338"/>
      <c r="F558" s="338"/>
      <c r="G558" s="361"/>
    </row>
    <row r="559" spans="1:11">
      <c r="A559" s="330"/>
      <c r="B559" s="356"/>
      <c r="D559" s="367" t="s">
        <v>797</v>
      </c>
      <c r="E559" s="338"/>
      <c r="F559" s="338"/>
      <c r="G559" s="361"/>
    </row>
    <row r="560" spans="1:11">
      <c r="A560" s="330"/>
      <c r="B560" s="356"/>
      <c r="D560" s="357" t="s">
        <v>798</v>
      </c>
      <c r="E560" s="338"/>
      <c r="F560" s="338"/>
      <c r="G560" s="361"/>
      <c r="H560" s="351"/>
    </row>
    <row r="561" spans="1:8">
      <c r="A561" s="330"/>
      <c r="B561" s="354"/>
      <c r="C561" s="331"/>
      <c r="D561" s="355" t="s">
        <v>799</v>
      </c>
      <c r="E561" s="338"/>
      <c r="F561" s="338"/>
      <c r="G561" s="361"/>
      <c r="H561" s="331"/>
    </row>
    <row r="562" spans="1:8">
      <c r="A562" s="330"/>
      <c r="B562" s="354"/>
      <c r="C562" s="331"/>
      <c r="D562" s="355" t="s">
        <v>800</v>
      </c>
      <c r="E562" s="338"/>
      <c r="F562" s="338"/>
      <c r="G562" s="361"/>
      <c r="H562" s="331"/>
    </row>
    <row r="563" spans="1:8">
      <c r="A563" s="330"/>
      <c r="B563" s="354"/>
      <c r="C563" s="331"/>
      <c r="D563" s="355"/>
      <c r="E563" s="338"/>
      <c r="F563" s="338"/>
      <c r="G563" s="361"/>
      <c r="H563" s="331"/>
    </row>
    <row r="564" spans="1:8">
      <c r="A564" s="330"/>
      <c r="B564" s="354"/>
      <c r="C564" s="331"/>
      <c r="D564" s="355"/>
      <c r="E564" s="338"/>
      <c r="F564" s="338"/>
      <c r="G564" s="361"/>
      <c r="H564" s="331"/>
    </row>
    <row r="565" spans="1:8" ht="9.75" customHeight="1">
      <c r="A565" s="330"/>
      <c r="B565" s="368"/>
      <c r="C565" s="369"/>
      <c r="D565" s="370"/>
      <c r="E565" s="371"/>
      <c r="F565" s="371"/>
      <c r="G565" s="372"/>
      <c r="H565" s="331"/>
    </row>
    <row r="566" spans="1:8" ht="15.75" customHeight="1">
      <c r="A566" s="330"/>
      <c r="B566" s="736"/>
      <c r="C566" s="736"/>
      <c r="D566" s="736"/>
      <c r="E566" s="338"/>
      <c r="F566" s="338"/>
      <c r="G566" s="338"/>
      <c r="H566" s="345"/>
    </row>
    <row r="567" spans="1:8">
      <c r="A567" s="330"/>
      <c r="B567" s="736"/>
      <c r="C567" s="736"/>
      <c r="D567" s="736"/>
      <c r="E567" s="338"/>
      <c r="F567" s="338"/>
      <c r="G567" s="338"/>
    </row>
    <row r="568" spans="1:8">
      <c r="A568" s="328"/>
      <c r="B568" s="747"/>
      <c r="C568" s="747"/>
      <c r="D568" s="747"/>
      <c r="E568" s="747"/>
      <c r="F568" s="747"/>
      <c r="G568" s="747"/>
      <c r="H568" s="747"/>
    </row>
    <row r="569" spans="1:8">
      <c r="A569" s="329"/>
      <c r="B569" s="747"/>
      <c r="C569" s="747"/>
      <c r="D569" s="747"/>
      <c r="E569" s="747"/>
      <c r="F569" s="747"/>
      <c r="G569" s="747"/>
      <c r="H569" s="747"/>
    </row>
    <row r="570" spans="1:8" ht="10.5" customHeight="1">
      <c r="A570" s="330"/>
      <c r="B570" s="748"/>
      <c r="C570" s="749"/>
      <c r="D570" s="749"/>
      <c r="E570" s="749"/>
      <c r="F570" s="352"/>
      <c r="G570" s="353"/>
      <c r="H570" s="332"/>
    </row>
    <row r="571" spans="1:8">
      <c r="A571" s="330"/>
      <c r="B571" s="354"/>
      <c r="C571" s="331"/>
      <c r="D571" s="331"/>
      <c r="E571" s="331"/>
      <c r="F571" s="331"/>
      <c r="G571" s="355"/>
      <c r="H571" s="331"/>
    </row>
    <row r="572" spans="1:8">
      <c r="A572" s="330"/>
      <c r="B572" s="354"/>
      <c r="C572" s="331"/>
      <c r="D572" s="331"/>
      <c r="E572" s="331"/>
      <c r="F572" s="331"/>
      <c r="G572" s="355"/>
      <c r="H572" s="331"/>
    </row>
    <row r="573" spans="1:8">
      <c r="A573" s="330"/>
      <c r="B573" s="737"/>
      <c r="C573" s="738"/>
      <c r="D573" s="738"/>
      <c r="E573" s="738"/>
      <c r="F573" s="331"/>
      <c r="G573" s="355"/>
      <c r="H573" s="331"/>
    </row>
    <row r="574" spans="1:8">
      <c r="A574" s="330"/>
      <c r="B574" s="354"/>
      <c r="C574" s="331"/>
      <c r="D574" s="331"/>
      <c r="E574" s="331"/>
      <c r="F574" s="331"/>
      <c r="G574" s="355"/>
      <c r="H574" s="331"/>
    </row>
    <row r="575" spans="1:8">
      <c r="A575" s="330"/>
      <c r="B575" s="354"/>
      <c r="C575" s="331"/>
      <c r="D575" s="331"/>
      <c r="E575" s="331"/>
      <c r="F575" s="331"/>
      <c r="G575" s="355"/>
      <c r="H575" s="331"/>
    </row>
    <row r="576" spans="1:8">
      <c r="A576" s="330"/>
      <c r="B576" s="354"/>
      <c r="C576" s="331"/>
      <c r="D576" s="751" t="s">
        <v>1947</v>
      </c>
      <c r="E576" s="751"/>
      <c r="F576" s="331"/>
      <c r="G576" s="355"/>
      <c r="H576" s="331"/>
    </row>
    <row r="577" spans="1:8" ht="30" customHeight="1">
      <c r="A577" s="330"/>
      <c r="B577" s="356"/>
      <c r="D577" s="751"/>
      <c r="E577" s="751"/>
      <c r="F577" s="331"/>
      <c r="G577" s="355"/>
      <c r="H577" s="331"/>
    </row>
    <row r="578" spans="1:8" ht="15.75" customHeight="1">
      <c r="A578" s="330"/>
      <c r="B578" s="354"/>
      <c r="C578" s="331"/>
      <c r="D578" s="751"/>
      <c r="E578" s="751"/>
      <c r="F578" s="331"/>
      <c r="G578" s="355"/>
      <c r="H578" s="331"/>
    </row>
    <row r="579" spans="1:8" ht="15.75" customHeight="1">
      <c r="A579" s="330"/>
      <c r="B579" s="354"/>
      <c r="C579" s="331"/>
      <c r="D579" s="751"/>
      <c r="E579" s="751"/>
      <c r="F579" s="331"/>
      <c r="G579" s="355"/>
      <c r="H579" s="331"/>
    </row>
    <row r="580" spans="1:8" ht="26.25" customHeight="1">
      <c r="A580" s="330"/>
      <c r="B580" s="354"/>
      <c r="C580" s="331"/>
      <c r="D580" s="751"/>
      <c r="E580" s="751"/>
      <c r="F580" s="331"/>
      <c r="G580" s="355"/>
      <c r="H580" s="331"/>
    </row>
    <row r="581" spans="1:8" ht="15.75" customHeight="1">
      <c r="A581" s="330"/>
      <c r="B581" s="354"/>
      <c r="C581" s="331"/>
      <c r="D581" s="751"/>
      <c r="E581" s="751"/>
      <c r="F581" s="331"/>
      <c r="G581" s="355"/>
      <c r="H581" s="331"/>
    </row>
    <row r="582" spans="1:8" ht="27.75" customHeight="1">
      <c r="A582" s="330"/>
      <c r="B582" s="354"/>
      <c r="C582" s="331"/>
      <c r="D582" s="751"/>
      <c r="E582" s="751"/>
      <c r="F582" s="331"/>
      <c r="G582" s="355"/>
      <c r="H582" s="331"/>
    </row>
    <row r="583" spans="1:8" ht="7.5" customHeight="1">
      <c r="A583" s="330"/>
      <c r="B583" s="354"/>
      <c r="C583" s="331"/>
      <c r="D583" s="751"/>
      <c r="E583" s="751"/>
      <c r="F583" s="331"/>
      <c r="G583" s="355"/>
      <c r="H583" s="331"/>
    </row>
    <row r="584" spans="1:8">
      <c r="A584" s="330"/>
      <c r="B584" s="356"/>
      <c r="D584" s="751"/>
      <c r="E584" s="751"/>
      <c r="F584" s="331"/>
      <c r="G584" s="355"/>
      <c r="H584" s="331"/>
    </row>
    <row r="585" spans="1:8">
      <c r="A585" s="330"/>
      <c r="B585" s="354"/>
      <c r="C585" s="331"/>
      <c r="D585" s="332"/>
      <c r="E585" s="332"/>
      <c r="F585" s="331"/>
      <c r="G585" s="355"/>
      <c r="H585" s="331"/>
    </row>
    <row r="586" spans="1:8">
      <c r="A586" s="330"/>
      <c r="B586" s="354"/>
      <c r="C586" s="331"/>
      <c r="D586" s="331"/>
      <c r="E586" s="331"/>
      <c r="F586" s="331"/>
      <c r="G586" s="355"/>
      <c r="H586" s="333"/>
    </row>
    <row r="587" spans="1:8">
      <c r="A587" s="330"/>
      <c r="B587" s="354"/>
      <c r="C587" s="331"/>
      <c r="D587" s="331"/>
      <c r="E587" s="331"/>
      <c r="F587" s="331"/>
      <c r="G587" s="355"/>
      <c r="H587" s="333"/>
    </row>
    <row r="588" spans="1:8">
      <c r="A588" s="330"/>
      <c r="B588" s="354"/>
      <c r="C588" s="331"/>
      <c r="D588" s="331"/>
      <c r="E588" s="331"/>
      <c r="F588" s="331"/>
      <c r="G588" s="355"/>
      <c r="H588" s="333"/>
    </row>
    <row r="589" spans="1:8">
      <c r="A589" s="330"/>
      <c r="B589" s="354"/>
      <c r="C589" s="331"/>
      <c r="D589" s="331"/>
      <c r="E589" s="331"/>
      <c r="F589" s="331"/>
      <c r="G589" s="355"/>
      <c r="H589" s="333"/>
    </row>
    <row r="590" spans="1:8">
      <c r="A590" s="330"/>
      <c r="B590" s="356"/>
      <c r="G590" s="357"/>
      <c r="H590" s="333"/>
    </row>
    <row r="591" spans="1:8" ht="15.75" customHeight="1">
      <c r="A591" s="337"/>
      <c r="B591" s="752"/>
      <c r="C591" s="753"/>
      <c r="D591" s="753"/>
      <c r="E591" s="753"/>
      <c r="F591" s="358"/>
      <c r="G591" s="359"/>
      <c r="H591" s="360"/>
    </row>
    <row r="592" spans="1:8">
      <c r="A592" s="330"/>
      <c r="B592" s="356"/>
      <c r="G592" s="357"/>
    </row>
    <row r="593" spans="1:8">
      <c r="A593" s="330"/>
      <c r="B593" s="354"/>
      <c r="C593" s="331"/>
      <c r="D593" s="331"/>
      <c r="E593" s="338"/>
      <c r="F593" s="338"/>
      <c r="G593" s="361"/>
      <c r="H593" s="339"/>
    </row>
    <row r="594" spans="1:8" ht="15.75" customHeight="1">
      <c r="A594" s="330"/>
      <c r="B594" s="730"/>
      <c r="C594" s="731"/>
      <c r="D594" s="731"/>
      <c r="E594" s="731"/>
      <c r="F594" s="343"/>
      <c r="G594" s="362"/>
      <c r="H594" s="743"/>
    </row>
    <row r="595" spans="1:8">
      <c r="A595" s="330"/>
      <c r="B595" s="730"/>
      <c r="C595" s="731"/>
      <c r="D595" s="731"/>
      <c r="E595" s="731"/>
      <c r="F595" s="343"/>
      <c r="G595" s="362"/>
      <c r="H595" s="743"/>
    </row>
    <row r="596" spans="1:8">
      <c r="A596" s="330"/>
      <c r="B596" s="363"/>
      <c r="C596" s="343"/>
      <c r="D596" s="343"/>
      <c r="E596" s="343"/>
      <c r="F596" s="343"/>
      <c r="G596" s="362"/>
      <c r="H596" s="344"/>
    </row>
    <row r="597" spans="1:8">
      <c r="A597" s="330"/>
      <c r="B597" s="364"/>
      <c r="C597" s="332"/>
      <c r="D597" s="332"/>
      <c r="E597" s="332"/>
      <c r="F597" s="332"/>
      <c r="G597" s="365"/>
      <c r="H597" s="332"/>
    </row>
    <row r="598" spans="1:8">
      <c r="A598" s="330"/>
      <c r="B598" s="737"/>
      <c r="C598" s="738"/>
      <c r="D598" s="738"/>
      <c r="E598" s="738"/>
      <c r="F598" s="331"/>
      <c r="G598" s="355"/>
      <c r="H598" s="345"/>
    </row>
    <row r="599" spans="1:8" ht="15.75" hidden="1" customHeight="1">
      <c r="A599" s="330"/>
      <c r="B599" s="737" t="s">
        <v>774</v>
      </c>
      <c r="C599" s="738"/>
      <c r="D599" s="738"/>
      <c r="E599" s="738"/>
      <c r="F599" s="331"/>
      <c r="G599" s="355"/>
      <c r="H599" s="345" t="s">
        <v>770</v>
      </c>
    </row>
    <row r="600" spans="1:8" hidden="1">
      <c r="A600" s="330"/>
      <c r="B600" s="354" t="s">
        <v>775</v>
      </c>
      <c r="C600" s="331"/>
      <c r="D600" s="331"/>
      <c r="E600" s="331"/>
      <c r="F600" s="331"/>
      <c r="G600" s="355"/>
      <c r="H600" s="345" t="s">
        <v>770</v>
      </c>
    </row>
    <row r="601" spans="1:8">
      <c r="A601" s="330"/>
      <c r="B601" s="737"/>
      <c r="C601" s="738"/>
      <c r="D601" s="738"/>
      <c r="E601" s="738"/>
      <c r="F601" s="331"/>
      <c r="G601" s="355"/>
      <c r="H601" s="345"/>
    </row>
    <row r="602" spans="1:8" ht="27.75">
      <c r="A602" s="330"/>
      <c r="B602" s="373"/>
      <c r="C602" s="341"/>
      <c r="D602" s="739" t="s">
        <v>762</v>
      </c>
      <c r="E602" s="739"/>
      <c r="F602" s="330"/>
      <c r="G602" s="366"/>
      <c r="H602" s="339"/>
    </row>
    <row r="603" spans="1:8">
      <c r="A603" s="330"/>
      <c r="B603" s="356"/>
      <c r="G603" s="357"/>
    </row>
    <row r="604" spans="1:8">
      <c r="A604" s="330"/>
      <c r="B604" s="373"/>
      <c r="C604" s="341"/>
      <c r="D604" s="733"/>
      <c r="E604" s="733"/>
      <c r="F604" s="332"/>
      <c r="G604" s="365"/>
      <c r="H604" s="339"/>
    </row>
    <row r="605" spans="1:8">
      <c r="A605" s="330"/>
      <c r="B605" s="356"/>
      <c r="D605" s="733" t="s">
        <v>801</v>
      </c>
      <c r="E605" s="733"/>
      <c r="G605" s="357"/>
    </row>
    <row r="606" spans="1:8" ht="15.75" customHeight="1">
      <c r="A606" s="330"/>
      <c r="B606" s="730"/>
      <c r="C606" s="731"/>
      <c r="D606" s="731"/>
      <c r="E606" s="338"/>
      <c r="F606" s="338"/>
      <c r="G606" s="361"/>
      <c r="H606" s="331"/>
    </row>
    <row r="607" spans="1:8">
      <c r="A607" s="330"/>
      <c r="B607" s="730"/>
      <c r="C607" s="731"/>
      <c r="D607" s="731"/>
      <c r="E607" s="338"/>
      <c r="F607" s="338"/>
      <c r="G607" s="361"/>
      <c r="H607" s="331"/>
    </row>
    <row r="608" spans="1:8" ht="36" customHeight="1">
      <c r="A608" s="330"/>
      <c r="B608" s="356"/>
      <c r="D608" s="732" t="s">
        <v>806</v>
      </c>
      <c r="E608" s="732"/>
      <c r="F608" s="338"/>
      <c r="G608" s="361"/>
    </row>
    <row r="609" spans="1:11">
      <c r="A609" s="330"/>
      <c r="B609" s="354"/>
      <c r="C609" s="331"/>
      <c r="D609" s="331"/>
      <c r="E609" s="338"/>
      <c r="F609" s="338"/>
      <c r="G609" s="361"/>
      <c r="H609" s="331"/>
    </row>
    <row r="610" spans="1:11">
      <c r="A610" s="330"/>
      <c r="B610" s="354"/>
      <c r="C610" s="331"/>
      <c r="D610" s="733" t="s">
        <v>802</v>
      </c>
      <c r="E610" s="733"/>
      <c r="F610" s="338"/>
      <c r="G610" s="361"/>
      <c r="H610" s="331"/>
    </row>
    <row r="611" spans="1:11">
      <c r="A611" s="330"/>
      <c r="B611" s="354"/>
      <c r="C611" s="331"/>
      <c r="D611" s="734" t="s">
        <v>807</v>
      </c>
      <c r="E611" s="734"/>
      <c r="F611" s="338"/>
      <c r="G611" s="361"/>
      <c r="H611" s="331"/>
    </row>
    <row r="612" spans="1:11" ht="15.75" customHeight="1">
      <c r="A612" s="330"/>
      <c r="B612" s="735"/>
      <c r="C612" s="736"/>
      <c r="D612" s="736"/>
      <c r="E612" s="338"/>
      <c r="F612" s="338"/>
      <c r="G612" s="361"/>
    </row>
    <row r="613" spans="1:11">
      <c r="A613" s="330"/>
      <c r="B613" s="735"/>
      <c r="C613" s="736"/>
      <c r="D613" s="736"/>
      <c r="E613" s="338"/>
      <c r="F613" s="338"/>
      <c r="G613" s="361"/>
    </row>
    <row r="614" spans="1:11">
      <c r="A614" s="330"/>
      <c r="B614" s="354"/>
      <c r="C614" s="331"/>
      <c r="E614" s="338"/>
      <c r="F614" s="338"/>
      <c r="G614" s="361"/>
    </row>
    <row r="615" spans="1:11">
      <c r="A615" s="330"/>
      <c r="B615" s="737"/>
      <c r="C615" s="738"/>
      <c r="D615" s="738"/>
      <c r="E615" s="338"/>
      <c r="F615" s="338"/>
      <c r="G615" s="361"/>
      <c r="H615" s="331"/>
    </row>
    <row r="616" spans="1:11">
      <c r="A616" s="330"/>
      <c r="B616" s="356"/>
      <c r="E616" s="338"/>
      <c r="F616" s="338"/>
      <c r="G616" s="361"/>
    </row>
    <row r="617" spans="1:11">
      <c r="A617" s="330"/>
      <c r="B617" s="356"/>
      <c r="E617" s="338"/>
      <c r="F617" s="338"/>
      <c r="G617" s="361"/>
      <c r="K617" t="s">
        <v>795</v>
      </c>
    </row>
    <row r="618" spans="1:11">
      <c r="A618" s="330"/>
      <c r="B618" s="356"/>
      <c r="E618" s="338"/>
      <c r="F618" s="338"/>
      <c r="G618" s="361"/>
      <c r="H618" s="350"/>
      <c r="K618" t="s">
        <v>796</v>
      </c>
    </row>
    <row r="619" spans="1:11">
      <c r="A619" s="330"/>
      <c r="B619" s="356"/>
      <c r="E619" s="338"/>
      <c r="F619" s="338"/>
      <c r="G619" s="361"/>
    </row>
    <row r="620" spans="1:11">
      <c r="A620" s="330"/>
      <c r="B620" s="744"/>
      <c r="C620" s="745"/>
      <c r="D620" s="746"/>
      <c r="E620" s="338"/>
      <c r="F620" s="338"/>
      <c r="G620" s="361"/>
      <c r="H620" s="331"/>
    </row>
    <row r="621" spans="1:11">
      <c r="A621" s="330"/>
      <c r="B621" s="356"/>
      <c r="D621" s="357"/>
      <c r="E621" s="338"/>
      <c r="F621" s="338"/>
      <c r="G621" s="361"/>
    </row>
    <row r="622" spans="1:11">
      <c r="A622" s="330"/>
      <c r="B622" s="356"/>
      <c r="D622" s="367" t="s">
        <v>797</v>
      </c>
      <c r="E622" s="338"/>
      <c r="F622" s="338"/>
      <c r="G622" s="361"/>
    </row>
    <row r="623" spans="1:11">
      <c r="A623" s="330"/>
      <c r="B623" s="356"/>
      <c r="D623" s="357" t="s">
        <v>798</v>
      </c>
      <c r="E623" s="338"/>
      <c r="F623" s="338"/>
      <c r="G623" s="361"/>
      <c r="H623" s="351"/>
    </row>
    <row r="624" spans="1:11">
      <c r="A624" s="330"/>
      <c r="B624" s="354"/>
      <c r="C624" s="331"/>
      <c r="D624" s="355" t="s">
        <v>799</v>
      </c>
      <c r="E624" s="338"/>
      <c r="F624" s="338"/>
      <c r="G624" s="361"/>
      <c r="H624" s="331"/>
    </row>
    <row r="625" spans="1:8">
      <c r="A625" s="330"/>
      <c r="B625" s="354"/>
      <c r="C625" s="331"/>
      <c r="D625" s="355" t="s">
        <v>800</v>
      </c>
      <c r="E625" s="338"/>
      <c r="F625" s="338"/>
      <c r="G625" s="361"/>
      <c r="H625" s="331"/>
    </row>
    <row r="626" spans="1:8">
      <c r="A626" s="330"/>
      <c r="B626" s="354"/>
      <c r="C626" s="331"/>
      <c r="D626" s="355"/>
      <c r="E626" s="338"/>
      <c r="F626" s="338"/>
      <c r="G626" s="361"/>
      <c r="H626" s="331"/>
    </row>
    <row r="627" spans="1:8">
      <c r="A627" s="330"/>
      <c r="B627" s="354"/>
      <c r="C627" s="331"/>
      <c r="D627" s="355"/>
      <c r="E627" s="338"/>
      <c r="F627" s="338"/>
      <c r="G627" s="361"/>
      <c r="H627" s="331"/>
    </row>
    <row r="628" spans="1:8" ht="9.75" customHeight="1">
      <c r="A628" s="330"/>
      <c r="B628" s="368"/>
      <c r="C628" s="369"/>
      <c r="D628" s="370"/>
      <c r="E628" s="371"/>
      <c r="F628" s="371"/>
      <c r="G628" s="372"/>
      <c r="H628" s="331"/>
    </row>
    <row r="629" spans="1:8" ht="15.75" customHeight="1">
      <c r="A629" s="330"/>
      <c r="B629" s="736"/>
      <c r="C629" s="736"/>
      <c r="D629" s="736"/>
      <c r="E629" s="338"/>
      <c r="F629" s="338"/>
      <c r="G629" s="338"/>
      <c r="H629" s="345"/>
    </row>
    <row r="630" spans="1:8">
      <c r="A630" s="330"/>
      <c r="B630" s="736"/>
      <c r="C630" s="736"/>
      <c r="D630" s="736"/>
      <c r="E630" s="338"/>
      <c r="F630" s="338"/>
      <c r="G630" s="338"/>
    </row>
    <row r="631" spans="1:8">
      <c r="A631" s="328"/>
      <c r="B631" s="747"/>
      <c r="C631" s="747"/>
      <c r="D631" s="747"/>
      <c r="E631" s="747"/>
      <c r="F631" s="747"/>
      <c r="G631" s="747"/>
      <c r="H631" s="747"/>
    </row>
    <row r="632" spans="1:8">
      <c r="A632" s="329"/>
      <c r="B632" s="747"/>
      <c r="C632" s="747"/>
      <c r="D632" s="747"/>
      <c r="E632" s="747"/>
      <c r="F632" s="747"/>
      <c r="G632" s="747"/>
      <c r="H632" s="747"/>
    </row>
    <row r="633" spans="1:8" ht="10.5" customHeight="1">
      <c r="A633" s="330"/>
      <c r="B633" s="748"/>
      <c r="C633" s="749"/>
      <c r="D633" s="749"/>
      <c r="E633" s="749"/>
      <c r="F633" s="352"/>
      <c r="G633" s="353"/>
      <c r="H633" s="332"/>
    </row>
    <row r="634" spans="1:8">
      <c r="A634" s="330"/>
      <c r="B634" s="354"/>
      <c r="C634" s="331"/>
      <c r="D634" s="331"/>
      <c r="E634" s="331"/>
      <c r="F634" s="331"/>
      <c r="G634" s="355"/>
      <c r="H634" s="331"/>
    </row>
    <row r="635" spans="1:8">
      <c r="A635" s="330"/>
      <c r="B635" s="354"/>
      <c r="C635" s="331"/>
      <c r="D635" s="331"/>
      <c r="E635" s="331"/>
      <c r="F635" s="331"/>
      <c r="G635" s="355"/>
      <c r="H635" s="331"/>
    </row>
    <row r="636" spans="1:8">
      <c r="A636" s="330"/>
      <c r="B636" s="737"/>
      <c r="C636" s="738"/>
      <c r="D636" s="738"/>
      <c r="E636" s="738"/>
      <c r="F636" s="331"/>
      <c r="G636" s="355"/>
      <c r="H636" s="331"/>
    </row>
    <row r="637" spans="1:8">
      <c r="A637" s="330"/>
      <c r="B637" s="354"/>
      <c r="C637" s="331"/>
      <c r="D637" s="331"/>
      <c r="E637" s="331"/>
      <c r="F637" s="331"/>
      <c r="G637" s="355"/>
      <c r="H637" s="331"/>
    </row>
    <row r="638" spans="1:8">
      <c r="A638" s="330"/>
      <c r="B638" s="354"/>
      <c r="C638" s="331"/>
      <c r="D638" s="331"/>
      <c r="E638" s="331"/>
      <c r="F638" s="331"/>
      <c r="G638" s="355"/>
      <c r="H638" s="331"/>
    </row>
    <row r="639" spans="1:8">
      <c r="A639" s="330"/>
      <c r="B639" s="354"/>
      <c r="C639" s="331"/>
      <c r="D639" s="331"/>
      <c r="E639" s="331"/>
      <c r="F639" s="331"/>
      <c r="G639" s="355"/>
      <c r="H639" s="331"/>
    </row>
    <row r="640" spans="1:8" ht="30" customHeight="1">
      <c r="A640" s="330"/>
      <c r="B640" s="356"/>
      <c r="D640" s="751" t="s">
        <v>1532</v>
      </c>
      <c r="E640" s="751"/>
      <c r="F640" s="331"/>
      <c r="G640" s="355"/>
      <c r="H640" s="331"/>
    </row>
    <row r="641" spans="1:8">
      <c r="A641" s="330"/>
      <c r="B641" s="354"/>
      <c r="C641" s="331"/>
      <c r="D641" s="751"/>
      <c r="E641" s="751"/>
      <c r="F641" s="331"/>
      <c r="G641" s="355"/>
      <c r="H641" s="331"/>
    </row>
    <row r="642" spans="1:8">
      <c r="A642" s="330"/>
      <c r="B642" s="354"/>
      <c r="C642" s="331"/>
      <c r="D642" s="751"/>
      <c r="E642" s="751"/>
      <c r="F642" s="331"/>
      <c r="G642" s="355"/>
      <c r="H642" s="331"/>
    </row>
    <row r="643" spans="1:8" ht="26.25" customHeight="1">
      <c r="A643" s="330"/>
      <c r="B643" s="354"/>
      <c r="C643" s="331"/>
      <c r="D643" s="751"/>
      <c r="E643" s="751"/>
      <c r="F643" s="331"/>
      <c r="G643" s="355"/>
      <c r="H643" s="331"/>
    </row>
    <row r="644" spans="1:8">
      <c r="A644" s="330"/>
      <c r="B644" s="354"/>
      <c r="C644" s="331"/>
      <c r="D644" s="751"/>
      <c r="E644" s="751"/>
      <c r="F644" s="331"/>
      <c r="G644" s="355"/>
      <c r="H644" s="331"/>
    </row>
    <row r="645" spans="1:8" ht="27.75" customHeight="1">
      <c r="A645" s="330"/>
      <c r="B645" s="354"/>
      <c r="C645" s="331"/>
      <c r="D645" s="751"/>
      <c r="E645" s="751"/>
      <c r="F645" s="331"/>
      <c r="G645" s="355"/>
      <c r="H645" s="331"/>
    </row>
    <row r="646" spans="1:8" ht="7.5" customHeight="1">
      <c r="A646" s="330"/>
      <c r="B646" s="354"/>
      <c r="C646" s="331"/>
      <c r="D646" s="332"/>
      <c r="E646" s="332"/>
      <c r="F646" s="331"/>
      <c r="G646" s="355"/>
      <c r="H646" s="331"/>
    </row>
    <row r="647" spans="1:8">
      <c r="A647" s="330"/>
      <c r="B647" s="356"/>
      <c r="D647" s="331"/>
      <c r="E647" s="331"/>
      <c r="F647" s="331"/>
      <c r="G647" s="355"/>
      <c r="H647" s="331"/>
    </row>
    <row r="648" spans="1:8">
      <c r="A648" s="330"/>
      <c r="B648" s="354"/>
      <c r="C648" s="331"/>
      <c r="D648" s="332"/>
      <c r="E648" s="332"/>
      <c r="F648" s="331"/>
      <c r="G648" s="355"/>
      <c r="H648" s="331"/>
    </row>
    <row r="649" spans="1:8">
      <c r="A649" s="330"/>
      <c r="B649" s="354"/>
      <c r="C649" s="331"/>
      <c r="D649" s="331"/>
      <c r="E649" s="331"/>
      <c r="F649" s="331"/>
      <c r="G649" s="355"/>
      <c r="H649" s="333"/>
    </row>
    <row r="650" spans="1:8">
      <c r="A650" s="330"/>
      <c r="B650" s="354"/>
      <c r="C650" s="331"/>
      <c r="D650" s="331"/>
      <c r="E650" s="331"/>
      <c r="F650" s="331"/>
      <c r="G650" s="355"/>
      <c r="H650" s="333"/>
    </row>
    <row r="651" spans="1:8">
      <c r="A651" s="330"/>
      <c r="B651" s="354"/>
      <c r="C651" s="331"/>
      <c r="D651" s="331"/>
      <c r="E651" s="331"/>
      <c r="F651" s="331"/>
      <c r="G651" s="355"/>
      <c r="H651" s="333"/>
    </row>
    <row r="652" spans="1:8">
      <c r="A652" s="330"/>
      <c r="B652" s="354"/>
      <c r="C652" s="331"/>
      <c r="D652" s="331"/>
      <c r="E652" s="331"/>
      <c r="F652" s="331"/>
      <c r="G652" s="355"/>
      <c r="H652" s="333"/>
    </row>
    <row r="653" spans="1:8">
      <c r="A653" s="330"/>
      <c r="B653" s="356"/>
      <c r="G653" s="357"/>
      <c r="H653" s="333"/>
    </row>
    <row r="654" spans="1:8" ht="15.75" customHeight="1">
      <c r="A654" s="337"/>
      <c r="B654" s="752"/>
      <c r="C654" s="753"/>
      <c r="D654" s="753"/>
      <c r="E654" s="753"/>
      <c r="F654" s="358"/>
      <c r="G654" s="359"/>
      <c r="H654" s="360"/>
    </row>
    <row r="655" spans="1:8">
      <c r="A655" s="330"/>
      <c r="B655" s="356"/>
      <c r="G655" s="357"/>
    </row>
    <row r="656" spans="1:8">
      <c r="A656" s="330"/>
      <c r="B656" s="354"/>
      <c r="C656" s="331"/>
      <c r="D656" s="331"/>
      <c r="E656" s="338"/>
      <c r="F656" s="338"/>
      <c r="G656" s="361"/>
      <c r="H656" s="339"/>
    </row>
    <row r="657" spans="1:8" ht="15.75" customHeight="1">
      <c r="A657" s="330"/>
      <c r="B657" s="730"/>
      <c r="C657" s="731"/>
      <c r="D657" s="731"/>
      <c r="E657" s="731"/>
      <c r="F657" s="343"/>
      <c r="G657" s="362"/>
      <c r="H657" s="743"/>
    </row>
    <row r="658" spans="1:8">
      <c r="A658" s="330"/>
      <c r="B658" s="730"/>
      <c r="C658" s="731"/>
      <c r="D658" s="731"/>
      <c r="E658" s="731"/>
      <c r="F658" s="343"/>
      <c r="G658" s="362"/>
      <c r="H658" s="743"/>
    </row>
    <row r="659" spans="1:8">
      <c r="A659" s="330"/>
      <c r="B659" s="363"/>
      <c r="C659" s="343"/>
      <c r="D659" s="343"/>
      <c r="E659" s="343"/>
      <c r="F659" s="343"/>
      <c r="G659" s="362"/>
      <c r="H659" s="344"/>
    </row>
    <row r="660" spans="1:8">
      <c r="A660" s="330"/>
      <c r="B660" s="364"/>
      <c r="C660" s="332"/>
      <c r="D660" s="332"/>
      <c r="E660" s="332"/>
      <c r="F660" s="332"/>
      <c r="G660" s="365"/>
      <c r="H660" s="332"/>
    </row>
    <row r="661" spans="1:8">
      <c r="A661" s="330"/>
      <c r="B661" s="737"/>
      <c r="C661" s="738"/>
      <c r="D661" s="738"/>
      <c r="E661" s="738"/>
      <c r="F661" s="331"/>
      <c r="G661" s="355"/>
      <c r="H661" s="345"/>
    </row>
    <row r="662" spans="1:8" ht="15.75" hidden="1" customHeight="1">
      <c r="A662" s="330"/>
      <c r="B662" s="737" t="s">
        <v>774</v>
      </c>
      <c r="C662" s="738"/>
      <c r="D662" s="738"/>
      <c r="E662" s="738"/>
      <c r="F662" s="331"/>
      <c r="G662" s="355"/>
      <c r="H662" s="345" t="s">
        <v>770</v>
      </c>
    </row>
    <row r="663" spans="1:8" hidden="1">
      <c r="A663" s="330"/>
      <c r="B663" s="354" t="s">
        <v>775</v>
      </c>
      <c r="C663" s="331"/>
      <c r="D663" s="331"/>
      <c r="E663" s="331"/>
      <c r="F663" s="331"/>
      <c r="G663" s="355"/>
      <c r="H663" s="345" t="s">
        <v>770</v>
      </c>
    </row>
    <row r="664" spans="1:8">
      <c r="A664" s="330"/>
      <c r="B664" s="737"/>
      <c r="C664" s="738"/>
      <c r="D664" s="738"/>
      <c r="E664" s="738"/>
      <c r="F664" s="331"/>
      <c r="G664" s="355"/>
      <c r="H664" s="345"/>
    </row>
    <row r="665" spans="1:8" ht="27.75">
      <c r="A665" s="330"/>
      <c r="B665" s="373"/>
      <c r="C665" s="341"/>
      <c r="D665" s="739" t="s">
        <v>762</v>
      </c>
      <c r="E665" s="739"/>
      <c r="F665" s="330"/>
      <c r="G665" s="366"/>
      <c r="H665" s="339"/>
    </row>
    <row r="666" spans="1:8">
      <c r="A666" s="330"/>
      <c r="B666" s="356"/>
      <c r="G666" s="357"/>
    </row>
    <row r="667" spans="1:8">
      <c r="A667" s="330"/>
      <c r="B667" s="373"/>
      <c r="C667" s="341"/>
      <c r="D667" s="733"/>
      <c r="E667" s="733"/>
      <c r="F667" s="332"/>
      <c r="G667" s="365"/>
      <c r="H667" s="339"/>
    </row>
    <row r="668" spans="1:8">
      <c r="A668" s="330"/>
      <c r="B668" s="356"/>
      <c r="D668" s="733" t="s">
        <v>801</v>
      </c>
      <c r="E668" s="733"/>
      <c r="G668" s="357"/>
    </row>
    <row r="669" spans="1:8" ht="15.75" customHeight="1">
      <c r="A669" s="330"/>
      <c r="B669" s="730"/>
      <c r="C669" s="731"/>
      <c r="D669" s="731"/>
      <c r="E669" s="338"/>
      <c r="F669" s="338"/>
      <c r="G669" s="361"/>
      <c r="H669" s="331"/>
    </row>
    <row r="670" spans="1:8">
      <c r="A670" s="330"/>
      <c r="B670" s="730"/>
      <c r="C670" s="731"/>
      <c r="D670" s="731"/>
      <c r="E670" s="338"/>
      <c r="F670" s="338"/>
      <c r="G670" s="361"/>
      <c r="H670" s="331"/>
    </row>
    <row r="671" spans="1:8" ht="36" customHeight="1">
      <c r="A671" s="330"/>
      <c r="B671" s="356"/>
      <c r="D671" s="732" t="s">
        <v>806</v>
      </c>
      <c r="E671" s="732"/>
      <c r="F671" s="338"/>
      <c r="G671" s="361"/>
    </row>
    <row r="672" spans="1:8">
      <c r="A672" s="330"/>
      <c r="B672" s="354"/>
      <c r="C672" s="331"/>
      <c r="D672" s="331"/>
      <c r="E672" s="338"/>
      <c r="F672" s="338"/>
      <c r="G672" s="361"/>
      <c r="H672" s="331"/>
    </row>
    <row r="673" spans="1:11">
      <c r="A673" s="330"/>
      <c r="B673" s="354"/>
      <c r="C673" s="331"/>
      <c r="D673" s="733" t="s">
        <v>802</v>
      </c>
      <c r="E673" s="733"/>
      <c r="F673" s="338"/>
      <c r="G673" s="361"/>
      <c r="H673" s="331"/>
    </row>
    <row r="674" spans="1:11">
      <c r="A674" s="330"/>
      <c r="B674" s="354"/>
      <c r="C674" s="331"/>
      <c r="D674" s="734" t="s">
        <v>807</v>
      </c>
      <c r="E674" s="734"/>
      <c r="F674" s="338"/>
      <c r="G674" s="361"/>
      <c r="H674" s="331"/>
    </row>
    <row r="675" spans="1:11" ht="15.75" customHeight="1">
      <c r="A675" s="330"/>
      <c r="B675" s="735"/>
      <c r="C675" s="736"/>
      <c r="D675" s="736"/>
      <c r="E675" s="338"/>
      <c r="F675" s="338"/>
      <c r="G675" s="361"/>
    </row>
    <row r="676" spans="1:11">
      <c r="A676" s="330"/>
      <c r="B676" s="735"/>
      <c r="C676" s="736"/>
      <c r="D676" s="736"/>
      <c r="E676" s="338"/>
      <c r="F676" s="338"/>
      <c r="G676" s="361"/>
    </row>
    <row r="677" spans="1:11">
      <c r="A677" s="330"/>
      <c r="B677" s="354"/>
      <c r="C677" s="331"/>
      <c r="E677" s="338"/>
      <c r="F677" s="338"/>
      <c r="G677" s="361"/>
    </row>
    <row r="678" spans="1:11">
      <c r="A678" s="330"/>
      <c r="B678" s="737"/>
      <c r="C678" s="738"/>
      <c r="D678" s="738"/>
      <c r="E678" s="338"/>
      <c r="F678" s="338"/>
      <c r="G678" s="361"/>
      <c r="H678" s="331"/>
    </row>
    <row r="679" spans="1:11">
      <c r="A679" s="330"/>
      <c r="B679" s="356"/>
      <c r="E679" s="338"/>
      <c r="F679" s="338"/>
      <c r="G679" s="361"/>
    </row>
    <row r="680" spans="1:11">
      <c r="A680" s="330"/>
      <c r="B680" s="356"/>
      <c r="E680" s="338"/>
      <c r="F680" s="338"/>
      <c r="G680" s="361"/>
      <c r="K680" t="s">
        <v>795</v>
      </c>
    </row>
    <row r="681" spans="1:11">
      <c r="A681" s="330"/>
      <c r="B681" s="356"/>
      <c r="E681" s="338"/>
      <c r="F681" s="338"/>
      <c r="G681" s="361"/>
      <c r="H681" s="350"/>
      <c r="K681" t="s">
        <v>796</v>
      </c>
    </row>
    <row r="682" spans="1:11">
      <c r="A682" s="330"/>
      <c r="B682" s="356"/>
      <c r="E682" s="338"/>
      <c r="F682" s="338"/>
      <c r="G682" s="361"/>
    </row>
    <row r="683" spans="1:11">
      <c r="A683" s="330"/>
      <c r="B683" s="744"/>
      <c r="C683" s="745"/>
      <c r="D683" s="746"/>
      <c r="E683" s="338"/>
      <c r="F683" s="338"/>
      <c r="G683" s="361"/>
      <c r="H683" s="331"/>
    </row>
    <row r="684" spans="1:11">
      <c r="A684" s="330"/>
      <c r="B684" s="356"/>
      <c r="D684" s="357"/>
      <c r="E684" s="338"/>
      <c r="F684" s="338"/>
      <c r="G684" s="361"/>
    </row>
    <row r="685" spans="1:11">
      <c r="A685" s="330"/>
      <c r="B685" s="356"/>
      <c r="D685" s="367" t="s">
        <v>797</v>
      </c>
      <c r="E685" s="338"/>
      <c r="F685" s="338"/>
      <c r="G685" s="361"/>
    </row>
    <row r="686" spans="1:11">
      <c r="A686" s="330"/>
      <c r="B686" s="356"/>
      <c r="D686" s="357" t="s">
        <v>798</v>
      </c>
      <c r="E686" s="338"/>
      <c r="F686" s="338"/>
      <c r="G686" s="361"/>
      <c r="H686" s="351"/>
    </row>
    <row r="687" spans="1:11">
      <c r="A687" s="330"/>
      <c r="B687" s="354"/>
      <c r="C687" s="331"/>
      <c r="D687" s="355" t="s">
        <v>799</v>
      </c>
      <c r="E687" s="338"/>
      <c r="F687" s="338"/>
      <c r="G687" s="361"/>
      <c r="H687" s="331"/>
    </row>
    <row r="688" spans="1:11">
      <c r="A688" s="330"/>
      <c r="B688" s="354"/>
      <c r="C688" s="331"/>
      <c r="D688" s="355" t="s">
        <v>800</v>
      </c>
      <c r="E688" s="338"/>
      <c r="F688" s="338"/>
      <c r="G688" s="361"/>
      <c r="H688" s="331"/>
    </row>
    <row r="689" spans="1:11">
      <c r="A689" s="330"/>
      <c r="B689" s="354"/>
      <c r="C689" s="331"/>
      <c r="D689" s="355"/>
      <c r="E689" s="338"/>
      <c r="F689" s="338"/>
      <c r="G689" s="361"/>
      <c r="H689" s="331"/>
      <c r="K689">
        <v>23873</v>
      </c>
    </row>
    <row r="690" spans="1:11">
      <c r="A690" s="330"/>
      <c r="B690" s="354"/>
      <c r="C690" s="331"/>
      <c r="D690" s="355"/>
      <c r="E690" s="338"/>
      <c r="F690" s="338"/>
      <c r="G690" s="361"/>
      <c r="H690" s="331"/>
      <c r="K690">
        <v>17953</v>
      </c>
    </row>
    <row r="691" spans="1:11" ht="9.75" customHeight="1">
      <c r="A691" s="330"/>
      <c r="B691" s="368"/>
      <c r="C691" s="369"/>
      <c r="D691" s="370"/>
      <c r="E691" s="371"/>
      <c r="F691" s="371"/>
      <c r="G691" s="372"/>
      <c r="H691" s="331"/>
      <c r="K691">
        <v>32745</v>
      </c>
    </row>
    <row r="692" spans="1:11" ht="15.75" customHeight="1">
      <c r="A692" s="330"/>
      <c r="B692" s="736"/>
      <c r="C692" s="736"/>
      <c r="D692" s="736"/>
      <c r="E692" s="338"/>
      <c r="F692" s="338"/>
      <c r="G692" s="338"/>
      <c r="H692" s="345"/>
      <c r="K692">
        <v>32559</v>
      </c>
    </row>
    <row r="693" spans="1:11">
      <c r="A693" s="330"/>
      <c r="B693" s="736"/>
      <c r="C693" s="736"/>
      <c r="D693" s="736"/>
      <c r="E693" s="338"/>
      <c r="F693" s="338"/>
      <c r="G693" s="338"/>
      <c r="K693">
        <v>11073</v>
      </c>
    </row>
    <row r="694" spans="1:11">
      <c r="A694" s="328"/>
      <c r="B694" s="747"/>
      <c r="C694" s="747"/>
      <c r="D694" s="747"/>
      <c r="E694" s="747"/>
      <c r="F694" s="747"/>
      <c r="G694" s="747"/>
      <c r="H694" s="747"/>
      <c r="K694">
        <v>22627</v>
      </c>
    </row>
    <row r="695" spans="1:11">
      <c r="A695" s="329"/>
      <c r="B695" s="747"/>
      <c r="C695" s="747"/>
      <c r="D695" s="747"/>
      <c r="E695" s="747"/>
      <c r="F695" s="747"/>
      <c r="G695" s="747"/>
      <c r="H695" s="747"/>
      <c r="K695">
        <v>21433</v>
      </c>
    </row>
    <row r="696" spans="1:11" ht="10.5" customHeight="1">
      <c r="A696" s="330"/>
      <c r="B696" s="748"/>
      <c r="C696" s="749"/>
      <c r="D696" s="749"/>
      <c r="E696" s="749"/>
      <c r="F696" s="352"/>
      <c r="G696" s="353"/>
      <c r="H696" s="332"/>
    </row>
    <row r="697" spans="1:11">
      <c r="A697" s="330"/>
      <c r="B697" s="354"/>
      <c r="C697" s="331"/>
      <c r="D697" s="331"/>
      <c r="E697" s="331"/>
      <c r="F697" s="331"/>
      <c r="G697" s="355"/>
      <c r="H697" s="331"/>
    </row>
    <row r="698" spans="1:11">
      <c r="A698" s="330"/>
      <c r="B698" s="354"/>
      <c r="C698" s="331"/>
      <c r="D698" s="331"/>
      <c r="E698" s="331"/>
      <c r="F698" s="331"/>
      <c r="G698" s="355"/>
      <c r="H698" s="331"/>
      <c r="K698">
        <f>SUM(K689:K697)</f>
        <v>162263</v>
      </c>
    </row>
    <row r="699" spans="1:11">
      <c r="A699" s="330"/>
      <c r="B699" s="737"/>
      <c r="C699" s="738"/>
      <c r="D699" s="738"/>
      <c r="E699" s="738"/>
      <c r="F699" s="331"/>
      <c r="G699" s="355"/>
      <c r="H699" s="331"/>
    </row>
    <row r="700" spans="1:11">
      <c r="A700" s="330"/>
      <c r="B700" s="354"/>
      <c r="C700" s="331"/>
      <c r="D700" s="331"/>
      <c r="E700" s="331"/>
      <c r="F700" s="331"/>
      <c r="G700" s="355"/>
      <c r="H700" s="331"/>
    </row>
    <row r="701" spans="1:11">
      <c r="A701" s="330"/>
      <c r="B701" s="354"/>
      <c r="C701" s="331"/>
      <c r="D701" s="331"/>
      <c r="E701" s="331"/>
      <c r="F701" s="331"/>
      <c r="G701" s="355"/>
      <c r="H701" s="331"/>
    </row>
    <row r="702" spans="1:11">
      <c r="A702" s="330"/>
      <c r="B702" s="354"/>
      <c r="C702" s="331"/>
      <c r="D702" s="331"/>
      <c r="E702" s="331"/>
      <c r="F702" s="331"/>
      <c r="G702" s="355"/>
      <c r="H702" s="331"/>
    </row>
    <row r="703" spans="1:11" ht="30" customHeight="1">
      <c r="A703" s="330"/>
      <c r="B703" s="356"/>
      <c r="D703" s="1082" t="s">
        <v>1533</v>
      </c>
      <c r="E703" s="1082"/>
      <c r="F703" s="331"/>
      <c r="G703" s="355"/>
      <c r="H703" s="331"/>
    </row>
    <row r="704" spans="1:11">
      <c r="A704" s="330"/>
      <c r="B704" s="354"/>
      <c r="C704" s="331"/>
      <c r="D704" s="1082"/>
      <c r="E704" s="1082"/>
      <c r="F704" s="331"/>
      <c r="G704" s="355"/>
      <c r="H704" s="331"/>
    </row>
    <row r="705" spans="1:8">
      <c r="A705" s="330"/>
      <c r="B705" s="354"/>
      <c r="C705" s="331"/>
      <c r="D705" s="1082"/>
      <c r="E705" s="1082"/>
      <c r="F705" s="331"/>
      <c r="G705" s="355"/>
      <c r="H705" s="331"/>
    </row>
    <row r="706" spans="1:8" ht="26.25" customHeight="1">
      <c r="A706" s="330"/>
      <c r="B706" s="354"/>
      <c r="C706" s="331"/>
      <c r="D706" s="1082"/>
      <c r="E706" s="1082"/>
      <c r="F706" s="331"/>
      <c r="G706" s="355"/>
      <c r="H706" s="331"/>
    </row>
    <row r="707" spans="1:8">
      <c r="A707" s="330"/>
      <c r="B707" s="354"/>
      <c r="C707" s="331"/>
      <c r="D707" s="1082"/>
      <c r="E707" s="1082"/>
      <c r="F707" s="331"/>
      <c r="G707" s="355"/>
      <c r="H707" s="331"/>
    </row>
    <row r="708" spans="1:8" ht="27.75" customHeight="1">
      <c r="A708" s="330"/>
      <c r="B708" s="354"/>
      <c r="C708" s="331"/>
      <c r="D708" s="1082"/>
      <c r="E708" s="1082"/>
      <c r="F708" s="331"/>
      <c r="G708" s="355"/>
      <c r="H708" s="331"/>
    </row>
    <row r="709" spans="1:8" ht="7.5" customHeight="1">
      <c r="A709" s="330"/>
      <c r="B709" s="354"/>
      <c r="C709" s="331"/>
      <c r="D709" s="332"/>
      <c r="E709" s="332"/>
      <c r="F709" s="331"/>
      <c r="G709" s="355"/>
      <c r="H709" s="331"/>
    </row>
    <row r="710" spans="1:8">
      <c r="A710" s="330"/>
      <c r="B710" s="356"/>
      <c r="D710" s="331"/>
      <c r="E710" s="331"/>
      <c r="F710" s="331"/>
      <c r="G710" s="355"/>
      <c r="H710" s="331"/>
    </row>
    <row r="711" spans="1:8">
      <c r="A711" s="330"/>
      <c r="B711" s="354"/>
      <c r="C711" s="331"/>
      <c r="D711" s="332"/>
      <c r="E711" s="332"/>
      <c r="F711" s="331"/>
      <c r="G711" s="355"/>
      <c r="H711" s="331"/>
    </row>
    <row r="712" spans="1:8">
      <c r="A712" s="330"/>
      <c r="B712" s="354"/>
      <c r="C712" s="331"/>
      <c r="D712" s="331"/>
      <c r="E712" s="331"/>
      <c r="F712" s="331"/>
      <c r="G712" s="355"/>
      <c r="H712" s="333"/>
    </row>
    <row r="713" spans="1:8">
      <c r="A713" s="330"/>
      <c r="B713" s="354"/>
      <c r="C713" s="331"/>
      <c r="D713" s="331"/>
      <c r="E713" s="331"/>
      <c r="F713" s="331"/>
      <c r="G713" s="355"/>
      <c r="H713" s="333"/>
    </row>
    <row r="714" spans="1:8">
      <c r="A714" s="330"/>
      <c r="B714" s="354"/>
      <c r="C714" s="331"/>
      <c r="D714" s="331"/>
      <c r="E714" s="331"/>
      <c r="F714" s="331"/>
      <c r="G714" s="355"/>
      <c r="H714" s="333"/>
    </row>
    <row r="715" spans="1:8">
      <c r="A715" s="330"/>
      <c r="B715" s="354"/>
      <c r="C715" s="331"/>
      <c r="D715" s="331"/>
      <c r="E715" s="331"/>
      <c r="F715" s="331"/>
      <c r="G715" s="355"/>
      <c r="H715" s="333"/>
    </row>
    <row r="716" spans="1:8">
      <c r="A716" s="330"/>
      <c r="B716" s="356"/>
      <c r="G716" s="357"/>
      <c r="H716" s="333"/>
    </row>
    <row r="717" spans="1:8" ht="15.75" customHeight="1">
      <c r="A717" s="337"/>
      <c r="B717" s="752"/>
      <c r="C717" s="753"/>
      <c r="D717" s="753"/>
      <c r="E717" s="753"/>
      <c r="F717" s="358"/>
      <c r="G717" s="359"/>
      <c r="H717" s="360"/>
    </row>
    <row r="718" spans="1:8">
      <c r="A718" s="330"/>
      <c r="B718" s="356"/>
      <c r="G718" s="357"/>
    </row>
    <row r="719" spans="1:8">
      <c r="A719" s="330"/>
      <c r="B719" s="354"/>
      <c r="C719" s="331"/>
      <c r="D719" s="331"/>
      <c r="E719" s="338"/>
      <c r="F719" s="338"/>
      <c r="G719" s="361"/>
      <c r="H719" s="339"/>
    </row>
    <row r="720" spans="1:8" ht="15.75" customHeight="1">
      <c r="A720" s="330"/>
      <c r="B720" s="730"/>
      <c r="C720" s="731"/>
      <c r="D720" s="731"/>
      <c r="E720" s="731"/>
      <c r="F720" s="343"/>
      <c r="G720" s="362"/>
      <c r="H720" s="743"/>
    </row>
    <row r="721" spans="1:8">
      <c r="A721" s="330"/>
      <c r="B721" s="730"/>
      <c r="C721" s="731"/>
      <c r="D721" s="731"/>
      <c r="E721" s="731"/>
      <c r="F721" s="343"/>
      <c r="G721" s="362"/>
      <c r="H721" s="743"/>
    </row>
    <row r="722" spans="1:8">
      <c r="A722" s="330"/>
      <c r="B722" s="363"/>
      <c r="C722" s="343"/>
      <c r="D722" s="343"/>
      <c r="E722" s="343"/>
      <c r="F722" s="343"/>
      <c r="G722" s="362"/>
      <c r="H722" s="344"/>
    </row>
    <row r="723" spans="1:8">
      <c r="A723" s="330"/>
      <c r="B723" s="364"/>
      <c r="C723" s="332"/>
      <c r="D723" s="332"/>
      <c r="E723" s="332"/>
      <c r="F723" s="332"/>
      <c r="G723" s="365"/>
      <c r="H723" s="332"/>
    </row>
    <row r="724" spans="1:8">
      <c r="A724" s="330"/>
      <c r="B724" s="737"/>
      <c r="C724" s="738"/>
      <c r="D724" s="738"/>
      <c r="E724" s="738"/>
      <c r="F724" s="331"/>
      <c r="G724" s="355"/>
      <c r="H724" s="345"/>
    </row>
    <row r="725" spans="1:8" ht="15.75" hidden="1" customHeight="1">
      <c r="A725" s="330"/>
      <c r="B725" s="737" t="s">
        <v>774</v>
      </c>
      <c r="C725" s="738"/>
      <c r="D725" s="738"/>
      <c r="E725" s="738"/>
      <c r="F725" s="331"/>
      <c r="G725" s="355"/>
      <c r="H725" s="345" t="s">
        <v>770</v>
      </c>
    </row>
    <row r="726" spans="1:8" hidden="1">
      <c r="A726" s="330"/>
      <c r="B726" s="354" t="s">
        <v>775</v>
      </c>
      <c r="C726" s="331"/>
      <c r="D726" s="331"/>
      <c r="E726" s="331"/>
      <c r="F726" s="331"/>
      <c r="G726" s="355"/>
      <c r="H726" s="345" t="s">
        <v>770</v>
      </c>
    </row>
    <row r="727" spans="1:8">
      <c r="A727" s="330"/>
      <c r="B727" s="737"/>
      <c r="C727" s="738"/>
      <c r="D727" s="738"/>
      <c r="E727" s="738"/>
      <c r="F727" s="331"/>
      <c r="G727" s="355"/>
      <c r="H727" s="345"/>
    </row>
    <row r="728" spans="1:8" ht="27.75">
      <c r="A728" s="330"/>
      <c r="B728" s="373"/>
      <c r="C728" s="341"/>
      <c r="D728" s="739" t="s">
        <v>762</v>
      </c>
      <c r="E728" s="739"/>
      <c r="F728" s="330"/>
      <c r="G728" s="366"/>
      <c r="H728" s="339"/>
    </row>
    <row r="729" spans="1:8">
      <c r="A729" s="330"/>
      <c r="B729" s="356"/>
      <c r="G729" s="357"/>
    </row>
    <row r="730" spans="1:8">
      <c r="A730" s="330"/>
      <c r="B730" s="373"/>
      <c r="C730" s="341"/>
      <c r="D730" s="733"/>
      <c r="E730" s="733"/>
      <c r="F730" s="332"/>
      <c r="G730" s="365"/>
      <c r="H730" s="339"/>
    </row>
    <row r="731" spans="1:8">
      <c r="A731" s="330"/>
      <c r="B731" s="356"/>
      <c r="D731" s="733" t="s">
        <v>801</v>
      </c>
      <c r="E731" s="733"/>
      <c r="G731" s="357"/>
    </row>
    <row r="732" spans="1:8" ht="15.75" customHeight="1">
      <c r="A732" s="330"/>
      <c r="B732" s="730"/>
      <c r="C732" s="731"/>
      <c r="D732" s="731"/>
      <c r="E732" s="338"/>
      <c r="F732" s="338"/>
      <c r="G732" s="361"/>
      <c r="H732" s="331"/>
    </row>
    <row r="733" spans="1:8">
      <c r="A733" s="330"/>
      <c r="B733" s="730"/>
      <c r="C733" s="731"/>
      <c r="D733" s="731"/>
      <c r="E733" s="338"/>
      <c r="F733" s="338"/>
      <c r="G733" s="361"/>
      <c r="H733" s="331"/>
    </row>
    <row r="734" spans="1:8" ht="36" customHeight="1">
      <c r="A734" s="330"/>
      <c r="B734" s="356"/>
      <c r="D734" s="732" t="s">
        <v>806</v>
      </c>
      <c r="E734" s="732"/>
      <c r="F734" s="338"/>
      <c r="G734" s="361"/>
    </row>
    <row r="735" spans="1:8">
      <c r="A735" s="330"/>
      <c r="B735" s="354"/>
      <c r="C735" s="331"/>
      <c r="D735" s="331"/>
      <c r="E735" s="338"/>
      <c r="F735" s="338"/>
      <c r="G735" s="361"/>
      <c r="H735" s="331"/>
    </row>
    <row r="736" spans="1:8">
      <c r="A736" s="330"/>
      <c r="B736" s="354"/>
      <c r="C736" s="331"/>
      <c r="D736" s="733" t="s">
        <v>802</v>
      </c>
      <c r="E736" s="733"/>
      <c r="F736" s="338"/>
      <c r="G736" s="361"/>
      <c r="H736" s="331"/>
    </row>
    <row r="737" spans="1:11">
      <c r="A737" s="330"/>
      <c r="B737" s="354"/>
      <c r="C737" s="331"/>
      <c r="D737" s="734" t="s">
        <v>807</v>
      </c>
      <c r="E737" s="734"/>
      <c r="F737" s="338"/>
      <c r="G737" s="361"/>
      <c r="H737" s="331"/>
    </row>
    <row r="738" spans="1:11" ht="15.75" customHeight="1">
      <c r="A738" s="330"/>
      <c r="B738" s="735"/>
      <c r="C738" s="736"/>
      <c r="D738" s="736"/>
      <c r="E738" s="338"/>
      <c r="F738" s="338"/>
      <c r="G738" s="361"/>
    </row>
    <row r="739" spans="1:11">
      <c r="A739" s="330"/>
      <c r="B739" s="735"/>
      <c r="C739" s="736"/>
      <c r="D739" s="736"/>
      <c r="E739" s="338"/>
      <c r="F739" s="338"/>
      <c r="G739" s="361"/>
    </row>
    <row r="740" spans="1:11">
      <c r="A740" s="330"/>
      <c r="B740" s="354"/>
      <c r="C740" s="331"/>
      <c r="E740" s="338"/>
      <c r="F740" s="338"/>
      <c r="G740" s="361"/>
    </row>
    <row r="741" spans="1:11">
      <c r="A741" s="330"/>
      <c r="B741" s="737"/>
      <c r="C741" s="738"/>
      <c r="D741" s="738"/>
      <c r="E741" s="338"/>
      <c r="F741" s="338"/>
      <c r="G741" s="361"/>
      <c r="H741" s="331"/>
    </row>
    <row r="742" spans="1:11">
      <c r="A742" s="330"/>
      <c r="B742" s="356"/>
      <c r="E742" s="338"/>
      <c r="F742" s="338"/>
      <c r="G742" s="361"/>
    </row>
    <row r="743" spans="1:11">
      <c r="A743" s="330"/>
      <c r="B743" s="356"/>
      <c r="E743" s="338"/>
      <c r="F743" s="338"/>
      <c r="G743" s="361"/>
      <c r="K743" t="s">
        <v>795</v>
      </c>
    </row>
    <row r="744" spans="1:11">
      <c r="A744" s="330"/>
      <c r="B744" s="356"/>
      <c r="E744" s="338"/>
      <c r="F744" s="338"/>
      <c r="G744" s="361"/>
      <c r="H744" s="350"/>
      <c r="K744" t="s">
        <v>796</v>
      </c>
    </row>
    <row r="745" spans="1:11">
      <c r="A745" s="330"/>
      <c r="B745" s="356"/>
      <c r="E745" s="338"/>
      <c r="F745" s="338"/>
      <c r="G745" s="361"/>
    </row>
    <row r="746" spans="1:11">
      <c r="A746" s="330"/>
      <c r="B746" s="744"/>
      <c r="C746" s="745"/>
      <c r="D746" s="746"/>
      <c r="E746" s="338"/>
      <c r="F746" s="338"/>
      <c r="G746" s="361"/>
      <c r="H746" s="331"/>
    </row>
    <row r="747" spans="1:11">
      <c r="A747" s="330"/>
      <c r="B747" s="356"/>
      <c r="D747" s="357"/>
      <c r="E747" s="338"/>
      <c r="F747" s="338"/>
      <c r="G747" s="361"/>
    </row>
    <row r="748" spans="1:11">
      <c r="A748" s="330"/>
      <c r="B748" s="356"/>
      <c r="D748" s="367" t="s">
        <v>797</v>
      </c>
      <c r="E748" s="338"/>
      <c r="F748" s="338"/>
      <c r="G748" s="361"/>
    </row>
    <row r="749" spans="1:11">
      <c r="A749" s="330"/>
      <c r="B749" s="356"/>
      <c r="D749" s="357" t="s">
        <v>798</v>
      </c>
      <c r="E749" s="338"/>
      <c r="F749" s="338"/>
      <c r="G749" s="361"/>
      <c r="H749" s="351"/>
    </row>
    <row r="750" spans="1:11">
      <c r="A750" s="330"/>
      <c r="B750" s="354"/>
      <c r="C750" s="331"/>
      <c r="D750" s="355" t="s">
        <v>799</v>
      </c>
      <c r="E750" s="338"/>
      <c r="F750" s="338"/>
      <c r="G750" s="361"/>
      <c r="H750" s="331"/>
    </row>
    <row r="751" spans="1:11">
      <c r="A751" s="330"/>
      <c r="B751" s="354"/>
      <c r="C751" s="331"/>
      <c r="D751" s="355" t="s">
        <v>800</v>
      </c>
      <c r="E751" s="338"/>
      <c r="F751" s="338"/>
      <c r="G751" s="361"/>
      <c r="H751" s="331"/>
    </row>
    <row r="752" spans="1:11">
      <c r="A752" s="330"/>
      <c r="B752" s="354"/>
      <c r="C752" s="331"/>
      <c r="D752" s="355"/>
      <c r="E752" s="338"/>
      <c r="F752" s="338"/>
      <c r="G752" s="361"/>
      <c r="H752" s="331"/>
    </row>
    <row r="753" spans="1:11">
      <c r="A753" s="330"/>
      <c r="B753" s="354"/>
      <c r="C753" s="331"/>
      <c r="D753" s="355"/>
      <c r="E753" s="338"/>
      <c r="F753" s="338"/>
      <c r="G753" s="361"/>
      <c r="H753" s="331"/>
    </row>
    <row r="754" spans="1:11" ht="9.75" customHeight="1">
      <c r="A754" s="330"/>
      <c r="B754" s="368"/>
      <c r="C754" s="369"/>
      <c r="D754" s="370"/>
      <c r="E754" s="371"/>
      <c r="F754" s="371"/>
      <c r="G754" s="372"/>
      <c r="H754" s="331"/>
    </row>
    <row r="755" spans="1:11" ht="15.75" customHeight="1">
      <c r="A755" s="330"/>
      <c r="B755" s="736"/>
      <c r="C755" s="736"/>
      <c r="D755" s="736"/>
      <c r="E755" s="338"/>
      <c r="F755" s="338"/>
      <c r="G755" s="338"/>
      <c r="H755" s="345"/>
    </row>
    <row r="756" spans="1:11">
      <c r="A756" s="330"/>
      <c r="B756" s="736"/>
      <c r="C756" s="736"/>
      <c r="D756" s="736"/>
      <c r="E756" s="338"/>
      <c r="F756" s="338"/>
      <c r="G756" s="338"/>
    </row>
    <row r="757" spans="1:11">
      <c r="A757" s="328"/>
      <c r="B757" s="747"/>
      <c r="C757" s="747"/>
      <c r="D757" s="747"/>
      <c r="E757" s="747"/>
      <c r="F757" s="747"/>
      <c r="G757" s="747"/>
      <c r="H757" s="747"/>
      <c r="K757">
        <v>22627</v>
      </c>
    </row>
    <row r="758" spans="1:11">
      <c r="A758" s="329"/>
      <c r="B758" s="747"/>
      <c r="C758" s="747"/>
      <c r="D758" s="747"/>
      <c r="E758" s="747"/>
      <c r="F758" s="747"/>
      <c r="G758" s="747"/>
      <c r="H758" s="747"/>
      <c r="K758">
        <v>21433</v>
      </c>
    </row>
    <row r="759" spans="1:11" ht="10.5" customHeight="1">
      <c r="A759" s="330"/>
      <c r="B759" s="748"/>
      <c r="C759" s="749"/>
      <c r="D759" s="749"/>
      <c r="E759" s="749"/>
      <c r="F759" s="352"/>
      <c r="G759" s="353"/>
      <c r="H759" s="332"/>
    </row>
    <row r="760" spans="1:11">
      <c r="A760" s="330"/>
      <c r="B760" s="354"/>
      <c r="C760" s="331"/>
      <c r="D760" s="331"/>
      <c r="E760" s="331"/>
      <c r="F760" s="331"/>
      <c r="G760" s="355"/>
      <c r="H760" s="331"/>
    </row>
    <row r="761" spans="1:11">
      <c r="A761" s="330"/>
      <c r="B761" s="354"/>
      <c r="C761" s="331"/>
      <c r="D761" s="331"/>
      <c r="E761" s="331"/>
      <c r="F761" s="331"/>
      <c r="G761" s="355"/>
      <c r="H761" s="331"/>
      <c r="K761">
        <f>SUM(K752:K760)</f>
        <v>44060</v>
      </c>
    </row>
    <row r="762" spans="1:11">
      <c r="A762" s="330"/>
      <c r="B762" s="737"/>
      <c r="C762" s="738"/>
      <c r="D762" s="738"/>
      <c r="E762" s="738"/>
      <c r="F762" s="331"/>
      <c r="G762" s="355"/>
      <c r="H762" s="331"/>
    </row>
    <row r="763" spans="1:11">
      <c r="A763" s="330"/>
      <c r="B763" s="354"/>
      <c r="C763" s="331"/>
      <c r="D763" s="331"/>
      <c r="E763" s="331"/>
      <c r="F763" s="331"/>
      <c r="G763" s="355"/>
      <c r="H763" s="331"/>
    </row>
    <row r="764" spans="1:11">
      <c r="A764" s="330"/>
      <c r="B764" s="354"/>
      <c r="C764" s="331"/>
      <c r="D764" s="331"/>
      <c r="E764" s="331"/>
      <c r="F764" s="331"/>
      <c r="G764" s="355"/>
      <c r="H764" s="331"/>
    </row>
    <row r="765" spans="1:11">
      <c r="A765" s="330"/>
      <c r="B765" s="354"/>
      <c r="C765" s="331"/>
      <c r="D765" s="331"/>
      <c r="E765" s="331"/>
      <c r="F765" s="331"/>
      <c r="G765" s="355"/>
      <c r="H765" s="331"/>
    </row>
    <row r="766" spans="1:11" ht="30" customHeight="1">
      <c r="A766" s="330"/>
      <c r="B766" s="356"/>
      <c r="D766" s="1082" t="s">
        <v>1534</v>
      </c>
      <c r="E766" s="1082"/>
      <c r="F766" s="331"/>
      <c r="G766" s="355"/>
      <c r="H766" s="331"/>
    </row>
    <row r="767" spans="1:11">
      <c r="A767" s="330"/>
      <c r="B767" s="354"/>
      <c r="C767" s="331"/>
      <c r="D767" s="1082"/>
      <c r="E767" s="1082"/>
      <c r="F767" s="331"/>
      <c r="G767" s="355"/>
      <c r="H767" s="331"/>
    </row>
    <row r="768" spans="1:11">
      <c r="A768" s="330"/>
      <c r="B768" s="354"/>
      <c r="C768" s="331"/>
      <c r="D768" s="1082"/>
      <c r="E768" s="1082"/>
      <c r="F768" s="331"/>
      <c r="G768" s="355"/>
      <c r="H768" s="331"/>
    </row>
    <row r="769" spans="1:8" ht="26.25" customHeight="1">
      <c r="A769" s="330"/>
      <c r="B769" s="354"/>
      <c r="C769" s="331"/>
      <c r="D769" s="1082"/>
      <c r="E769" s="1082"/>
      <c r="F769" s="331"/>
      <c r="G769" s="355"/>
      <c r="H769" s="331"/>
    </row>
    <row r="770" spans="1:8">
      <c r="A770" s="330"/>
      <c r="B770" s="354"/>
      <c r="C770" s="331"/>
      <c r="D770" s="1082"/>
      <c r="E770" s="1082"/>
      <c r="F770" s="331"/>
      <c r="G770" s="355"/>
      <c r="H770" s="331"/>
    </row>
    <row r="771" spans="1:8" ht="27.75" customHeight="1">
      <c r="A771" s="330"/>
      <c r="B771" s="354"/>
      <c r="C771" s="331"/>
      <c r="D771" s="1082"/>
      <c r="E771" s="1082"/>
      <c r="F771" s="331"/>
      <c r="G771" s="355"/>
      <c r="H771" s="331"/>
    </row>
    <row r="772" spans="1:8" ht="7.5" customHeight="1">
      <c r="A772" s="330"/>
      <c r="B772" s="354"/>
      <c r="C772" s="331"/>
      <c r="D772" s="332"/>
      <c r="E772" s="332"/>
      <c r="F772" s="331"/>
      <c r="G772" s="355"/>
      <c r="H772" s="331"/>
    </row>
    <row r="773" spans="1:8">
      <c r="A773" s="330"/>
      <c r="B773" s="356"/>
      <c r="D773" s="331"/>
      <c r="E773" s="331"/>
      <c r="F773" s="331"/>
      <c r="G773" s="355"/>
      <c r="H773" s="331"/>
    </row>
    <row r="774" spans="1:8">
      <c r="A774" s="330"/>
      <c r="B774" s="354"/>
      <c r="C774" s="331"/>
      <c r="D774" s="332"/>
      <c r="E774" s="332"/>
      <c r="F774" s="331"/>
      <c r="G774" s="355"/>
      <c r="H774" s="331"/>
    </row>
    <row r="775" spans="1:8">
      <c r="A775" s="330"/>
      <c r="B775" s="354"/>
      <c r="C775" s="331"/>
      <c r="D775" s="331"/>
      <c r="E775" s="331"/>
      <c r="F775" s="331"/>
      <c r="G775" s="355"/>
      <c r="H775" s="333"/>
    </row>
    <row r="776" spans="1:8">
      <c r="A776" s="330"/>
      <c r="B776" s="354"/>
      <c r="C776" s="331"/>
      <c r="D776" s="331"/>
      <c r="E776" s="331"/>
      <c r="F776" s="331"/>
      <c r="G776" s="355"/>
      <c r="H776" s="333"/>
    </row>
    <row r="777" spans="1:8">
      <c r="A777" s="330"/>
      <c r="B777" s="354"/>
      <c r="C777" s="331"/>
      <c r="D777" s="331"/>
      <c r="E777" s="331"/>
      <c r="F777" s="331"/>
      <c r="G777" s="355"/>
      <c r="H777" s="333"/>
    </row>
    <row r="778" spans="1:8">
      <c r="A778" s="330"/>
      <c r="B778" s="354"/>
      <c r="C778" s="331"/>
      <c r="D778" s="331"/>
      <c r="E778" s="331"/>
      <c r="F778" s="331"/>
      <c r="G778" s="355"/>
      <c r="H778" s="333"/>
    </row>
    <row r="779" spans="1:8">
      <c r="A779" s="330"/>
      <c r="B779" s="356"/>
      <c r="G779" s="357"/>
      <c r="H779" s="333"/>
    </row>
    <row r="780" spans="1:8" ht="15.75" customHeight="1">
      <c r="A780" s="337"/>
      <c r="B780" s="752"/>
      <c r="C780" s="753"/>
      <c r="D780" s="753"/>
      <c r="E780" s="753"/>
      <c r="F780" s="358"/>
      <c r="G780" s="359"/>
      <c r="H780" s="360"/>
    </row>
    <row r="781" spans="1:8">
      <c r="A781" s="330"/>
      <c r="B781" s="356"/>
      <c r="G781" s="357"/>
    </row>
    <row r="782" spans="1:8">
      <c r="A782" s="330"/>
      <c r="B782" s="354"/>
      <c r="C782" s="331"/>
      <c r="D782" s="331"/>
      <c r="E782" s="338"/>
      <c r="F782" s="338"/>
      <c r="G782" s="361"/>
      <c r="H782" s="339"/>
    </row>
    <row r="783" spans="1:8" ht="15.75" customHeight="1">
      <c r="A783" s="330"/>
      <c r="B783" s="730"/>
      <c r="C783" s="731"/>
      <c r="D783" s="731"/>
      <c r="E783" s="731"/>
      <c r="F783" s="343"/>
      <c r="G783" s="362"/>
      <c r="H783" s="743"/>
    </row>
    <row r="784" spans="1:8">
      <c r="A784" s="330"/>
      <c r="B784" s="730"/>
      <c r="C784" s="731"/>
      <c r="D784" s="731"/>
      <c r="E784" s="731"/>
      <c r="F784" s="343"/>
      <c r="G784" s="362"/>
      <c r="H784" s="743"/>
    </row>
    <row r="785" spans="1:8">
      <c r="A785" s="330"/>
      <c r="B785" s="363"/>
      <c r="C785" s="343"/>
      <c r="D785" s="343"/>
      <c r="E785" s="343"/>
      <c r="F785" s="343"/>
      <c r="G785" s="362"/>
      <c r="H785" s="344"/>
    </row>
    <row r="786" spans="1:8">
      <c r="A786" s="330"/>
      <c r="B786" s="364"/>
      <c r="C786" s="332"/>
      <c r="D786" s="332"/>
      <c r="E786" s="332"/>
      <c r="F786" s="332"/>
      <c r="G786" s="365"/>
      <c r="H786" s="332"/>
    </row>
    <row r="787" spans="1:8">
      <c r="A787" s="330"/>
      <c r="B787" s="737"/>
      <c r="C787" s="738"/>
      <c r="D787" s="738"/>
      <c r="E787" s="738"/>
      <c r="F787" s="331"/>
      <c r="G787" s="355"/>
      <c r="H787" s="345"/>
    </row>
    <row r="788" spans="1:8" ht="15.75" hidden="1" customHeight="1">
      <c r="A788" s="330"/>
      <c r="B788" s="737" t="s">
        <v>774</v>
      </c>
      <c r="C788" s="738"/>
      <c r="D788" s="738"/>
      <c r="E788" s="738"/>
      <c r="F788" s="331"/>
      <c r="G788" s="355"/>
      <c r="H788" s="345" t="s">
        <v>770</v>
      </c>
    </row>
    <row r="789" spans="1:8" hidden="1">
      <c r="A789" s="330"/>
      <c r="B789" s="354" t="s">
        <v>775</v>
      </c>
      <c r="C789" s="331"/>
      <c r="D789" s="331"/>
      <c r="E789" s="331"/>
      <c r="F789" s="331"/>
      <c r="G789" s="355"/>
      <c r="H789" s="345" t="s">
        <v>770</v>
      </c>
    </row>
    <row r="790" spans="1:8">
      <c r="A790" s="330"/>
      <c r="B790" s="737"/>
      <c r="C790" s="738"/>
      <c r="D790" s="738"/>
      <c r="E790" s="738"/>
      <c r="F790" s="331"/>
      <c r="G790" s="355"/>
      <c r="H790" s="345"/>
    </row>
    <row r="791" spans="1:8" ht="27.75">
      <c r="A791" s="330"/>
      <c r="B791" s="373"/>
      <c r="C791" s="341"/>
      <c r="D791" s="739" t="s">
        <v>762</v>
      </c>
      <c r="E791" s="739"/>
      <c r="F791" s="330"/>
      <c r="G791" s="366"/>
      <c r="H791" s="339"/>
    </row>
    <row r="792" spans="1:8">
      <c r="A792" s="330"/>
      <c r="B792" s="356"/>
      <c r="G792" s="357"/>
    </row>
    <row r="793" spans="1:8">
      <c r="A793" s="330"/>
      <c r="B793" s="373"/>
      <c r="C793" s="341"/>
      <c r="D793" s="733"/>
      <c r="E793" s="733"/>
      <c r="F793" s="332"/>
      <c r="G793" s="365"/>
      <c r="H793" s="339"/>
    </row>
    <row r="794" spans="1:8">
      <c r="A794" s="330"/>
      <c r="B794" s="356"/>
      <c r="D794" s="733" t="s">
        <v>801</v>
      </c>
      <c r="E794" s="733"/>
      <c r="G794" s="357"/>
    </row>
    <row r="795" spans="1:8" ht="15.75" customHeight="1">
      <c r="A795" s="330"/>
      <c r="B795" s="730"/>
      <c r="C795" s="731"/>
      <c r="D795" s="731"/>
      <c r="E795" s="338"/>
      <c r="F795" s="338"/>
      <c r="G795" s="361"/>
      <c r="H795" s="331"/>
    </row>
    <row r="796" spans="1:8">
      <c r="A796" s="330"/>
      <c r="B796" s="730"/>
      <c r="C796" s="731"/>
      <c r="D796" s="731"/>
      <c r="E796" s="338"/>
      <c r="F796" s="338"/>
      <c r="G796" s="361"/>
      <c r="H796" s="331"/>
    </row>
    <row r="797" spans="1:8" ht="36" customHeight="1">
      <c r="A797" s="330"/>
      <c r="B797" s="356"/>
      <c r="D797" s="732" t="s">
        <v>806</v>
      </c>
      <c r="E797" s="732"/>
      <c r="F797" s="338"/>
      <c r="G797" s="361"/>
    </row>
    <row r="798" spans="1:8">
      <c r="A798" s="330"/>
      <c r="B798" s="354"/>
      <c r="C798" s="331"/>
      <c r="D798" s="331"/>
      <c r="E798" s="338"/>
      <c r="F798" s="338"/>
      <c r="G798" s="361"/>
      <c r="H798" s="331"/>
    </row>
    <row r="799" spans="1:8">
      <c r="A799" s="330"/>
      <c r="B799" s="354"/>
      <c r="C799" s="331"/>
      <c r="D799" s="733" t="s">
        <v>802</v>
      </c>
      <c r="E799" s="733"/>
      <c r="F799" s="338"/>
      <c r="G799" s="361"/>
      <c r="H799" s="331"/>
    </row>
    <row r="800" spans="1:8">
      <c r="A800" s="330"/>
      <c r="B800" s="354"/>
      <c r="C800" s="331"/>
      <c r="D800" s="734" t="s">
        <v>807</v>
      </c>
      <c r="E800" s="734"/>
      <c r="F800" s="338"/>
      <c r="G800" s="361"/>
      <c r="H800" s="331"/>
    </row>
    <row r="801" spans="1:11" ht="15.75" customHeight="1">
      <c r="A801" s="330"/>
      <c r="B801" s="735"/>
      <c r="C801" s="736"/>
      <c r="D801" s="736"/>
      <c r="E801" s="338"/>
      <c r="F801" s="338"/>
      <c r="G801" s="361"/>
    </row>
    <row r="802" spans="1:11">
      <c r="A802" s="330"/>
      <c r="B802" s="735"/>
      <c r="C802" s="736"/>
      <c r="D802" s="736"/>
      <c r="E802" s="338"/>
      <c r="F802" s="338"/>
      <c r="G802" s="361"/>
    </row>
    <row r="803" spans="1:11">
      <c r="A803" s="330"/>
      <c r="B803" s="354"/>
      <c r="C803" s="331"/>
      <c r="E803" s="338"/>
      <c r="F803" s="338"/>
      <c r="G803" s="361"/>
    </row>
    <row r="804" spans="1:11">
      <c r="A804" s="330"/>
      <c r="B804" s="737"/>
      <c r="C804" s="738"/>
      <c r="D804" s="738"/>
      <c r="E804" s="338"/>
      <c r="F804" s="338"/>
      <c r="G804" s="361"/>
      <c r="H804" s="331"/>
    </row>
    <row r="805" spans="1:11">
      <c r="A805" s="330"/>
      <c r="B805" s="356"/>
      <c r="E805" s="338"/>
      <c r="F805" s="338"/>
      <c r="G805" s="361"/>
    </row>
    <row r="806" spans="1:11">
      <c r="A806" s="330"/>
      <c r="B806" s="356"/>
      <c r="E806" s="338"/>
      <c r="F806" s="338"/>
      <c r="G806" s="361"/>
      <c r="K806" t="s">
        <v>795</v>
      </c>
    </row>
    <row r="807" spans="1:11">
      <c r="A807" s="330"/>
      <c r="B807" s="356"/>
      <c r="E807" s="338"/>
      <c r="F807" s="338"/>
      <c r="G807" s="361"/>
      <c r="H807" s="350"/>
      <c r="K807" t="s">
        <v>796</v>
      </c>
    </row>
    <row r="808" spans="1:11">
      <c r="A808" s="330"/>
      <c r="B808" s="356"/>
      <c r="E808" s="338"/>
      <c r="F808" s="338"/>
      <c r="G808" s="361"/>
    </row>
    <row r="809" spans="1:11">
      <c r="A809" s="330"/>
      <c r="B809" s="744"/>
      <c r="C809" s="745"/>
      <c r="D809" s="746"/>
      <c r="E809" s="338"/>
      <c r="F809" s="338"/>
      <c r="G809" s="361"/>
      <c r="H809" s="331"/>
    </row>
    <row r="810" spans="1:11">
      <c r="A810" s="330"/>
      <c r="B810" s="356"/>
      <c r="D810" s="357"/>
      <c r="E810" s="338"/>
      <c r="F810" s="338"/>
      <c r="G810" s="361"/>
    </row>
    <row r="811" spans="1:11">
      <c r="A811" s="330"/>
      <c r="B811" s="356"/>
      <c r="D811" s="367" t="s">
        <v>797</v>
      </c>
      <c r="E811" s="338"/>
      <c r="F811" s="338"/>
      <c r="G811" s="361"/>
    </row>
    <row r="812" spans="1:11">
      <c r="A812" s="330"/>
      <c r="B812" s="356"/>
      <c r="D812" s="357" t="s">
        <v>798</v>
      </c>
      <c r="E812" s="338"/>
      <c r="F812" s="338"/>
      <c r="G812" s="361"/>
      <c r="H812" s="351"/>
    </row>
    <row r="813" spans="1:11">
      <c r="A813" s="330"/>
      <c r="B813" s="354"/>
      <c r="C813" s="331"/>
      <c r="D813" s="355" t="s">
        <v>799</v>
      </c>
      <c r="E813" s="338"/>
      <c r="F813" s="338"/>
      <c r="G813" s="361"/>
      <c r="H813" s="331"/>
    </row>
    <row r="814" spans="1:11">
      <c r="A814" s="330"/>
      <c r="B814" s="354"/>
      <c r="C814" s="331"/>
      <c r="D814" s="355" t="s">
        <v>800</v>
      </c>
      <c r="E814" s="338"/>
      <c r="F814" s="338"/>
      <c r="G814" s="361"/>
      <c r="H814" s="331"/>
    </row>
    <row r="815" spans="1:11">
      <c r="A815" s="330"/>
      <c r="B815" s="354"/>
      <c r="C815" s="331"/>
      <c r="D815" s="355"/>
      <c r="E815" s="338"/>
      <c r="F815" s="338"/>
      <c r="G815" s="361"/>
      <c r="H815" s="331"/>
    </row>
    <row r="816" spans="1:11">
      <c r="A816" s="330"/>
      <c r="B816" s="354"/>
      <c r="C816" s="331"/>
      <c r="D816" s="355"/>
      <c r="E816" s="338"/>
      <c r="F816" s="338"/>
      <c r="G816" s="361"/>
      <c r="H816" s="331"/>
    </row>
    <row r="817" spans="1:8" ht="9.75" customHeight="1">
      <c r="A817" s="330"/>
      <c r="B817" s="368"/>
      <c r="C817" s="369"/>
      <c r="D817" s="370"/>
      <c r="E817" s="371"/>
      <c r="F817" s="371"/>
      <c r="G817" s="372"/>
      <c r="H817" s="331"/>
    </row>
    <row r="818" spans="1:8" ht="15.75" customHeight="1">
      <c r="A818" s="330"/>
      <c r="B818" s="736"/>
      <c r="C818" s="736"/>
      <c r="D818" s="736"/>
      <c r="E818" s="338"/>
      <c r="F818" s="338"/>
      <c r="G818" s="338"/>
      <c r="H818" s="345"/>
    </row>
    <row r="819" spans="1:8">
      <c r="A819" s="330"/>
      <c r="B819" s="736"/>
      <c r="C819" s="736"/>
      <c r="D819" s="736"/>
      <c r="E819" s="338"/>
      <c r="F819" s="338"/>
      <c r="G819" s="338"/>
    </row>
    <row r="820" spans="1:8">
      <c r="A820" s="328"/>
      <c r="B820" s="747"/>
      <c r="C820" s="747"/>
      <c r="D820" s="747"/>
      <c r="E820" s="747"/>
      <c r="F820" s="747"/>
      <c r="G820" s="747"/>
      <c r="H820" s="747"/>
    </row>
    <row r="821" spans="1:8">
      <c r="A821" s="329"/>
      <c r="B821" s="747"/>
      <c r="C821" s="747"/>
      <c r="D821" s="747"/>
      <c r="E821" s="747"/>
      <c r="F821" s="747"/>
      <c r="G821" s="747"/>
      <c r="H821" s="747"/>
    </row>
    <row r="822" spans="1:8">
      <c r="A822" s="330"/>
      <c r="B822" s="748"/>
      <c r="C822" s="749"/>
      <c r="D822" s="749"/>
      <c r="E822" s="749"/>
      <c r="F822" s="352"/>
      <c r="G822" s="353"/>
      <c r="H822" s="332"/>
    </row>
    <row r="823" spans="1:8">
      <c r="A823" s="330"/>
      <c r="B823" s="354"/>
      <c r="C823" s="331"/>
      <c r="D823" s="331"/>
      <c r="E823" s="331"/>
      <c r="F823" s="331"/>
      <c r="G823" s="355"/>
      <c r="H823" s="331"/>
    </row>
    <row r="824" spans="1:8">
      <c r="A824" s="330"/>
      <c r="B824" s="354"/>
      <c r="C824" s="331"/>
      <c r="D824" s="331"/>
      <c r="E824" s="331"/>
      <c r="F824" s="331"/>
      <c r="G824" s="355"/>
      <c r="H824" s="331"/>
    </row>
    <row r="825" spans="1:8">
      <c r="A825" s="330"/>
      <c r="B825" s="737"/>
      <c r="C825" s="738"/>
      <c r="D825" s="738"/>
      <c r="E825" s="738"/>
      <c r="F825" s="331"/>
      <c r="G825" s="355"/>
      <c r="H825" s="331"/>
    </row>
    <row r="826" spans="1:8">
      <c r="A826" s="330"/>
      <c r="B826" s="354"/>
      <c r="C826" s="331"/>
      <c r="D826" s="1082" t="s">
        <v>1650</v>
      </c>
      <c r="E826" s="1082"/>
      <c r="F826" s="331"/>
      <c r="G826" s="355"/>
      <c r="H826" s="331"/>
    </row>
    <row r="827" spans="1:8">
      <c r="A827" s="330"/>
      <c r="B827" s="354"/>
      <c r="C827" s="331"/>
      <c r="D827" s="1082"/>
      <c r="E827" s="1082"/>
      <c r="F827" s="331"/>
      <c r="G827" s="355"/>
      <c r="H827" s="331"/>
    </row>
    <row r="828" spans="1:8">
      <c r="A828" s="330"/>
      <c r="B828" s="354"/>
      <c r="C828" s="331"/>
      <c r="D828" s="1082"/>
      <c r="E828" s="1082"/>
      <c r="F828" s="331"/>
      <c r="G828" s="355"/>
      <c r="H828" s="331"/>
    </row>
    <row r="829" spans="1:8" ht="15.75" customHeight="1">
      <c r="A829" s="330"/>
      <c r="B829" s="356"/>
      <c r="D829" s="1082"/>
      <c r="E829" s="1082"/>
      <c r="F829" s="331"/>
      <c r="G829" s="355"/>
      <c r="H829" s="331"/>
    </row>
    <row r="830" spans="1:8" ht="15.75" customHeight="1">
      <c r="A830" s="330"/>
      <c r="B830" s="354"/>
      <c r="C830" s="331"/>
      <c r="D830" s="1082"/>
      <c r="E830" s="1082"/>
      <c r="F830" s="331"/>
      <c r="G830" s="355"/>
      <c r="H830" s="331"/>
    </row>
    <row r="831" spans="1:8" ht="15.75" customHeight="1">
      <c r="A831" s="330"/>
      <c r="B831" s="354"/>
      <c r="C831" s="331"/>
      <c r="D831" s="1082"/>
      <c r="E831" s="1082"/>
      <c r="F831" s="331"/>
      <c r="G831" s="355"/>
      <c r="H831" s="331"/>
    </row>
    <row r="832" spans="1:8" ht="15.75" customHeight="1">
      <c r="A832" s="330"/>
      <c r="B832" s="354"/>
      <c r="C832" s="331"/>
      <c r="D832" s="1082"/>
      <c r="E832" s="1082"/>
      <c r="F832" s="331"/>
      <c r="G832" s="355"/>
      <c r="H832" s="331"/>
    </row>
    <row r="833" spans="1:8" ht="15.75" customHeight="1">
      <c r="A833" s="330"/>
      <c r="B833" s="354"/>
      <c r="C833" s="331"/>
      <c r="D833" s="1082"/>
      <c r="E833" s="1082"/>
      <c r="F833" s="331"/>
      <c r="G833" s="355"/>
      <c r="H833" s="331"/>
    </row>
    <row r="834" spans="1:8" ht="15.75" customHeight="1">
      <c r="A834" s="330"/>
      <c r="B834" s="354"/>
      <c r="C834" s="331"/>
      <c r="D834" s="1082"/>
      <c r="E834" s="1082"/>
      <c r="F834" s="331"/>
      <c r="G834" s="355"/>
      <c r="H834" s="331"/>
    </row>
    <row r="835" spans="1:8">
      <c r="A835" s="330"/>
      <c r="B835" s="354"/>
      <c r="C835" s="331"/>
      <c r="D835" s="1082"/>
      <c r="E835" s="1082"/>
      <c r="F835" s="331"/>
      <c r="G835" s="355"/>
      <c r="H835" s="331"/>
    </row>
    <row r="836" spans="1:8">
      <c r="A836" s="330"/>
      <c r="B836" s="356"/>
      <c r="D836" s="1082"/>
      <c r="E836" s="1082"/>
      <c r="F836" s="331"/>
      <c r="G836" s="355"/>
      <c r="H836" s="331"/>
    </row>
    <row r="837" spans="1:8">
      <c r="A837" s="330"/>
      <c r="B837" s="354"/>
      <c r="C837" s="331"/>
      <c r="D837" s="1082"/>
      <c r="E837" s="1082"/>
      <c r="F837" s="331"/>
      <c r="G837" s="355"/>
      <c r="H837" s="331"/>
    </row>
    <row r="838" spans="1:8">
      <c r="A838" s="330"/>
      <c r="B838" s="354"/>
      <c r="C838" s="331"/>
      <c r="D838" s="331"/>
      <c r="E838" s="331"/>
      <c r="F838" s="331"/>
      <c r="G838" s="355"/>
      <c r="H838" s="333"/>
    </row>
    <row r="839" spans="1:8">
      <c r="A839" s="330"/>
      <c r="B839" s="354"/>
      <c r="C839" s="331"/>
      <c r="D839" s="331"/>
      <c r="E839" s="331"/>
      <c r="F839" s="331"/>
      <c r="G839" s="355"/>
      <c r="H839" s="333"/>
    </row>
    <row r="840" spans="1:8">
      <c r="A840" s="330"/>
      <c r="B840" s="354"/>
      <c r="C840" s="331"/>
      <c r="D840" s="331"/>
      <c r="E840" s="331"/>
      <c r="F840" s="331"/>
      <c r="G840" s="355"/>
      <c r="H840" s="333"/>
    </row>
    <row r="841" spans="1:8">
      <c r="A841" s="330"/>
      <c r="B841" s="354"/>
      <c r="C841" s="331"/>
      <c r="D841" s="331"/>
      <c r="E841" s="331"/>
      <c r="F841" s="331"/>
      <c r="G841" s="355"/>
      <c r="H841" s="333"/>
    </row>
    <row r="842" spans="1:8">
      <c r="A842" s="330"/>
      <c r="B842" s="356"/>
      <c r="G842" s="357"/>
      <c r="H842" s="333"/>
    </row>
    <row r="843" spans="1:8">
      <c r="A843" s="337"/>
      <c r="B843" s="752"/>
      <c r="C843" s="753"/>
      <c r="D843" s="753"/>
      <c r="E843" s="753"/>
      <c r="F843" s="358"/>
      <c r="G843" s="359"/>
      <c r="H843" s="360"/>
    </row>
    <row r="844" spans="1:8">
      <c r="A844" s="330"/>
      <c r="B844" s="356"/>
      <c r="G844" s="357"/>
    </row>
    <row r="845" spans="1:8">
      <c r="A845" s="330"/>
      <c r="B845" s="354"/>
      <c r="C845" s="331"/>
      <c r="D845" s="331"/>
      <c r="E845" s="338"/>
      <c r="F845" s="338"/>
      <c r="G845" s="361"/>
      <c r="H845" s="339"/>
    </row>
    <row r="846" spans="1:8">
      <c r="A846" s="330"/>
      <c r="B846" s="730"/>
      <c r="C846" s="731"/>
      <c r="D846" s="731"/>
      <c r="E846" s="731"/>
      <c r="F846" s="343"/>
      <c r="G846" s="362"/>
      <c r="H846" s="743"/>
    </row>
    <row r="847" spans="1:8">
      <c r="A847" s="330"/>
      <c r="B847" s="730"/>
      <c r="C847" s="731"/>
      <c r="D847" s="731"/>
      <c r="E847" s="731"/>
      <c r="F847" s="343"/>
      <c r="G847" s="362"/>
      <c r="H847" s="743"/>
    </row>
    <row r="848" spans="1:8">
      <c r="A848" s="330"/>
      <c r="B848" s="363"/>
      <c r="C848" s="343"/>
      <c r="D848" s="343"/>
      <c r="E848" s="343"/>
      <c r="F848" s="343"/>
      <c r="G848" s="362"/>
      <c r="H848" s="344"/>
    </row>
    <row r="849" spans="1:8">
      <c r="A849" s="330"/>
      <c r="B849" s="364"/>
      <c r="C849" s="332"/>
      <c r="D849" s="332"/>
      <c r="E849" s="332"/>
      <c r="F849" s="332"/>
      <c r="G849" s="365"/>
      <c r="H849" s="332"/>
    </row>
    <row r="850" spans="1:8">
      <c r="A850" s="330"/>
      <c r="B850" s="737"/>
      <c r="C850" s="738"/>
      <c r="D850" s="738"/>
      <c r="E850" s="738"/>
      <c r="F850" s="331"/>
      <c r="G850" s="355"/>
      <c r="H850" s="345"/>
    </row>
    <row r="851" spans="1:8">
      <c r="A851" s="330"/>
      <c r="B851" s="737"/>
      <c r="C851" s="738"/>
      <c r="D851" s="738"/>
      <c r="E851" s="738"/>
      <c r="F851" s="331"/>
      <c r="G851" s="355"/>
      <c r="H851" s="345"/>
    </row>
    <row r="852" spans="1:8">
      <c r="A852" s="330"/>
      <c r="B852" s="354" t="s">
        <v>775</v>
      </c>
      <c r="C852" s="331"/>
      <c r="D852" s="331"/>
      <c r="E852" s="331"/>
      <c r="F852" s="331"/>
      <c r="G852" s="355"/>
      <c r="H852" s="345"/>
    </row>
    <row r="853" spans="1:8">
      <c r="A853" s="330"/>
      <c r="B853" s="737"/>
      <c r="C853" s="738"/>
      <c r="D853" s="738"/>
      <c r="E853" s="738"/>
      <c r="F853" s="331"/>
      <c r="G853" s="355"/>
      <c r="H853" s="345"/>
    </row>
    <row r="854" spans="1:8" ht="27.75">
      <c r="A854" s="330"/>
      <c r="B854" s="373"/>
      <c r="C854" s="341"/>
      <c r="D854" s="739" t="s">
        <v>762</v>
      </c>
      <c r="E854" s="739"/>
      <c r="F854" s="330"/>
      <c r="G854" s="366"/>
      <c r="H854" s="339"/>
    </row>
    <row r="855" spans="1:8">
      <c r="A855" s="330"/>
      <c r="B855" s="356"/>
      <c r="G855" s="357"/>
    </row>
    <row r="856" spans="1:8">
      <c r="A856" s="330"/>
      <c r="B856" s="373"/>
      <c r="C856" s="341"/>
      <c r="D856" s="733"/>
      <c r="E856" s="733"/>
      <c r="F856" s="332"/>
      <c r="G856" s="365"/>
      <c r="H856" s="339"/>
    </row>
    <row r="857" spans="1:8">
      <c r="A857" s="330"/>
      <c r="B857" s="356"/>
      <c r="D857" s="733" t="s">
        <v>801</v>
      </c>
      <c r="E857" s="733"/>
      <c r="G857" s="357"/>
    </row>
    <row r="858" spans="1:8">
      <c r="A858" s="330"/>
      <c r="B858" s="730"/>
      <c r="C858" s="731"/>
      <c r="D858" s="731"/>
      <c r="E858" s="338"/>
      <c r="F858" s="338"/>
      <c r="G858" s="361"/>
      <c r="H858" s="331"/>
    </row>
    <row r="859" spans="1:8">
      <c r="A859" s="330"/>
      <c r="B859" s="730"/>
      <c r="C859" s="731"/>
      <c r="D859" s="731"/>
      <c r="E859" s="338"/>
      <c r="F859" s="338"/>
      <c r="G859" s="361"/>
      <c r="H859" s="331"/>
    </row>
    <row r="860" spans="1:8">
      <c r="A860" s="330"/>
      <c r="B860" s="356"/>
      <c r="D860" s="732" t="s">
        <v>806</v>
      </c>
      <c r="E860" s="732"/>
      <c r="F860" s="338"/>
      <c r="G860" s="361"/>
    </row>
    <row r="861" spans="1:8">
      <c r="A861" s="330"/>
      <c r="B861" s="354"/>
      <c r="C861" s="331"/>
      <c r="D861" s="331"/>
      <c r="E861" s="338"/>
      <c r="F861" s="338"/>
      <c r="G861" s="361"/>
      <c r="H861" s="331"/>
    </row>
    <row r="862" spans="1:8">
      <c r="A862" s="330"/>
      <c r="B862" s="354"/>
      <c r="C862" s="331"/>
      <c r="D862" s="733" t="s">
        <v>802</v>
      </c>
      <c r="E862" s="733"/>
      <c r="F862" s="338"/>
      <c r="G862" s="361"/>
      <c r="H862" s="331"/>
    </row>
    <row r="863" spans="1:8">
      <c r="A863" s="330"/>
      <c r="B863" s="354"/>
      <c r="C863" s="331"/>
      <c r="D863" s="734" t="s">
        <v>807</v>
      </c>
      <c r="E863" s="734"/>
      <c r="F863" s="338"/>
      <c r="G863" s="361"/>
      <c r="H863" s="331"/>
    </row>
    <row r="864" spans="1:8">
      <c r="A864" s="330"/>
      <c r="B864" s="735"/>
      <c r="C864" s="736"/>
      <c r="D864" s="736"/>
      <c r="E864" s="338"/>
      <c r="F864" s="338"/>
      <c r="G864" s="361"/>
    </row>
    <row r="865" spans="1:8">
      <c r="A865" s="330"/>
      <c r="B865" s="735"/>
      <c r="C865" s="736"/>
      <c r="D865" s="736"/>
      <c r="E865" s="338"/>
      <c r="F865" s="338"/>
      <c r="G865" s="361"/>
    </row>
    <row r="866" spans="1:8">
      <c r="A866" s="330"/>
      <c r="B866" s="354"/>
      <c r="C866" s="331"/>
      <c r="E866" s="338"/>
      <c r="F866" s="338"/>
      <c r="G866" s="361"/>
    </row>
    <row r="867" spans="1:8">
      <c r="A867" s="330"/>
      <c r="B867" s="737"/>
      <c r="C867" s="738"/>
      <c r="D867" s="738"/>
      <c r="E867" s="338"/>
      <c r="F867" s="338"/>
      <c r="G867" s="361"/>
      <c r="H867" s="331"/>
    </row>
    <row r="868" spans="1:8">
      <c r="A868" s="330"/>
      <c r="B868" s="356"/>
      <c r="E868" s="338"/>
      <c r="F868" s="338"/>
      <c r="G868" s="361"/>
    </row>
    <row r="869" spans="1:8">
      <c r="A869" s="330"/>
      <c r="B869" s="356"/>
      <c r="E869" s="338"/>
      <c r="F869" s="338"/>
      <c r="G869" s="361"/>
    </row>
    <row r="870" spans="1:8">
      <c r="A870" s="330"/>
      <c r="B870" s="356"/>
      <c r="E870" s="338"/>
      <c r="F870" s="338"/>
      <c r="G870" s="361"/>
      <c r="H870" s="350"/>
    </row>
    <row r="871" spans="1:8">
      <c r="A871" s="330"/>
      <c r="B871" s="356"/>
      <c r="E871" s="338"/>
      <c r="F871" s="338"/>
      <c r="G871" s="361"/>
    </row>
    <row r="872" spans="1:8">
      <c r="A872" s="330"/>
      <c r="B872" s="744"/>
      <c r="C872" s="745"/>
      <c r="D872" s="746"/>
      <c r="E872" s="338"/>
      <c r="F872" s="338"/>
      <c r="G872" s="361"/>
      <c r="H872" s="331"/>
    </row>
    <row r="873" spans="1:8">
      <c r="A873" s="330"/>
      <c r="B873" s="356"/>
      <c r="D873" s="357"/>
      <c r="E873" s="338"/>
      <c r="F873" s="338"/>
      <c r="G873" s="361"/>
    </row>
    <row r="874" spans="1:8">
      <c r="A874" s="330"/>
      <c r="B874" s="356"/>
      <c r="D874" s="367" t="s">
        <v>797</v>
      </c>
      <c r="E874" s="338"/>
      <c r="F874" s="338"/>
      <c r="G874" s="361"/>
    </row>
    <row r="875" spans="1:8">
      <c r="A875" s="330"/>
      <c r="B875" s="356"/>
      <c r="D875" s="357" t="s">
        <v>798</v>
      </c>
      <c r="E875" s="338"/>
      <c r="F875" s="338"/>
      <c r="G875" s="361"/>
      <c r="H875" s="351"/>
    </row>
    <row r="876" spans="1:8">
      <c r="A876" s="330"/>
      <c r="B876" s="354"/>
      <c r="C876" s="331"/>
      <c r="D876" s="355" t="s">
        <v>799</v>
      </c>
      <c r="E876" s="338"/>
      <c r="F876" s="338"/>
      <c r="G876" s="361"/>
      <c r="H876" s="331"/>
    </row>
    <row r="877" spans="1:8">
      <c r="A877" s="330"/>
      <c r="B877" s="354"/>
      <c r="C877" s="331"/>
      <c r="D877" s="355" t="s">
        <v>800</v>
      </c>
      <c r="E877" s="338"/>
      <c r="F877" s="338"/>
      <c r="G877" s="361"/>
      <c r="H877" s="331"/>
    </row>
    <row r="878" spans="1:8">
      <c r="A878" s="330"/>
      <c r="B878" s="354"/>
      <c r="C878" s="331"/>
      <c r="D878" s="355"/>
      <c r="E878" s="338"/>
      <c r="F878" s="338"/>
      <c r="G878" s="361"/>
      <c r="H878" s="331"/>
    </row>
    <row r="879" spans="1:8">
      <c r="A879" s="330"/>
      <c r="B879" s="354"/>
      <c r="C879" s="331"/>
      <c r="D879" s="355"/>
      <c r="E879" s="338"/>
      <c r="F879" s="338"/>
      <c r="G879" s="361"/>
      <c r="H879" s="331"/>
    </row>
    <row r="880" spans="1:8">
      <c r="A880" s="330"/>
      <c r="B880" s="368"/>
      <c r="C880" s="369"/>
      <c r="D880" s="370"/>
      <c r="E880" s="371"/>
      <c r="F880" s="371"/>
      <c r="G880" s="372"/>
      <c r="H880" s="331"/>
    </row>
    <row r="881" spans="1:8">
      <c r="A881" s="330"/>
      <c r="B881" s="736"/>
      <c r="C881" s="736"/>
      <c r="D881" s="736"/>
      <c r="E881" s="338"/>
      <c r="F881" s="338"/>
      <c r="G881" s="338"/>
      <c r="H881" s="345"/>
    </row>
    <row r="882" spans="1:8">
      <c r="A882" s="330"/>
      <c r="B882" s="736"/>
      <c r="C882" s="736"/>
      <c r="D882" s="736"/>
      <c r="E882" s="338"/>
      <c r="F882" s="338"/>
      <c r="G882" s="338"/>
    </row>
    <row r="883" spans="1:8">
      <c r="A883" s="328"/>
      <c r="B883" s="747"/>
      <c r="C883" s="747"/>
      <c r="D883" s="747"/>
      <c r="E883" s="747"/>
      <c r="F883" s="747"/>
      <c r="G883" s="747"/>
      <c r="H883" s="747"/>
    </row>
    <row r="884" spans="1:8">
      <c r="A884" s="329"/>
      <c r="B884" s="747"/>
      <c r="C884" s="747"/>
      <c r="D884" s="747"/>
      <c r="E884" s="747"/>
      <c r="F884" s="747"/>
      <c r="G884" s="747"/>
      <c r="H884" s="747"/>
    </row>
    <row r="885" spans="1:8">
      <c r="A885" s="330"/>
      <c r="B885" s="748"/>
      <c r="C885" s="749"/>
      <c r="D885" s="749"/>
      <c r="E885" s="749"/>
      <c r="F885" s="352"/>
      <c r="G885" s="353"/>
      <c r="H885" s="332"/>
    </row>
    <row r="886" spans="1:8">
      <c r="A886" s="330"/>
      <c r="B886" s="354"/>
      <c r="C886" s="331"/>
      <c r="D886" s="331"/>
      <c r="E886" s="331"/>
      <c r="F886" s="331"/>
      <c r="G886" s="355"/>
      <c r="H886" s="331"/>
    </row>
    <row r="887" spans="1:8">
      <c r="A887" s="330"/>
      <c r="B887" s="354"/>
      <c r="C887" s="331"/>
      <c r="D887" s="331"/>
      <c r="E887" s="331"/>
      <c r="F887" s="331"/>
      <c r="G887" s="355"/>
      <c r="H887" s="331"/>
    </row>
    <row r="888" spans="1:8">
      <c r="A888" s="330"/>
      <c r="B888" s="737"/>
      <c r="C888" s="738"/>
      <c r="D888" s="738"/>
      <c r="E888" s="738"/>
      <c r="F888" s="331"/>
      <c r="G888" s="355"/>
      <c r="H888" s="331"/>
    </row>
    <row r="889" spans="1:8">
      <c r="A889" s="330"/>
      <c r="B889" s="354"/>
      <c r="C889" s="331"/>
      <c r="D889" s="331"/>
      <c r="E889" s="331"/>
      <c r="F889" s="331"/>
      <c r="G889" s="355"/>
      <c r="H889" s="331"/>
    </row>
    <row r="890" spans="1:8">
      <c r="A890" s="330"/>
      <c r="B890" s="354"/>
      <c r="C890" s="331"/>
      <c r="D890" s="331"/>
      <c r="E890" s="331"/>
      <c r="F890" s="331"/>
      <c r="G890" s="355"/>
      <c r="H890" s="331"/>
    </row>
    <row r="891" spans="1:8">
      <c r="A891" s="330"/>
      <c r="B891" s="354"/>
      <c r="C891" s="331"/>
      <c r="D891" s="751" t="s">
        <v>1651</v>
      </c>
      <c r="E891" s="751"/>
      <c r="F891" s="331"/>
      <c r="G891" s="355"/>
      <c r="H891" s="331"/>
    </row>
    <row r="892" spans="1:8" ht="15.75" customHeight="1">
      <c r="A892" s="330"/>
      <c r="B892" s="356"/>
      <c r="D892" s="751"/>
      <c r="E892" s="751"/>
      <c r="F892" s="331"/>
      <c r="G892" s="355"/>
      <c r="H892" s="331"/>
    </row>
    <row r="893" spans="1:8" ht="15.75" customHeight="1">
      <c r="A893" s="330"/>
      <c r="B893" s="354"/>
      <c r="C893" s="331"/>
      <c r="D893" s="751"/>
      <c r="E893" s="751"/>
      <c r="F893" s="331"/>
      <c r="G893" s="355"/>
      <c r="H893" s="331"/>
    </row>
    <row r="894" spans="1:8" ht="15.75" customHeight="1">
      <c r="A894" s="330"/>
      <c r="B894" s="354"/>
      <c r="C894" s="331"/>
      <c r="D894" s="751"/>
      <c r="E894" s="751"/>
      <c r="F894" s="331"/>
      <c r="G894" s="355"/>
      <c r="H894" s="331"/>
    </row>
    <row r="895" spans="1:8" ht="15.75" customHeight="1">
      <c r="A895" s="330"/>
      <c r="B895" s="354"/>
      <c r="C895" s="331"/>
      <c r="D895" s="751"/>
      <c r="E895" s="751"/>
      <c r="F895" s="331"/>
      <c r="G895" s="355"/>
      <c r="H895" s="331"/>
    </row>
    <row r="896" spans="1:8" ht="15.75" customHeight="1">
      <c r="A896" s="330"/>
      <c r="B896" s="354"/>
      <c r="C896" s="331"/>
      <c r="D896" s="751"/>
      <c r="E896" s="751"/>
      <c r="F896" s="331"/>
      <c r="G896" s="355"/>
      <c r="H896" s="331"/>
    </row>
    <row r="897" spans="1:8" ht="15.75" customHeight="1">
      <c r="A897" s="330"/>
      <c r="B897" s="354"/>
      <c r="C897" s="331"/>
      <c r="D897" s="751"/>
      <c r="E897" s="751"/>
      <c r="F897" s="331"/>
      <c r="G897" s="355"/>
      <c r="H897" s="331"/>
    </row>
    <row r="898" spans="1:8">
      <c r="A898" s="330"/>
      <c r="B898" s="354"/>
      <c r="C898" s="331"/>
      <c r="D898" s="751"/>
      <c r="E898" s="751"/>
      <c r="F898" s="331"/>
      <c r="G898" s="355"/>
      <c r="H898" s="331"/>
    </row>
    <row r="899" spans="1:8">
      <c r="A899" s="330"/>
      <c r="B899" s="356"/>
      <c r="D899" s="331"/>
      <c r="E899" s="331"/>
      <c r="F899" s="331"/>
      <c r="G899" s="355"/>
      <c r="H899" s="331"/>
    </row>
    <row r="900" spans="1:8">
      <c r="A900" s="330"/>
      <c r="B900" s="354"/>
      <c r="C900" s="331"/>
      <c r="D900" s="332"/>
      <c r="E900" s="332"/>
      <c r="F900" s="331"/>
      <c r="G900" s="355"/>
      <c r="H900" s="331"/>
    </row>
    <row r="901" spans="1:8">
      <c r="A901" s="330"/>
      <c r="B901" s="354"/>
      <c r="C901" s="331"/>
      <c r="D901" s="331"/>
      <c r="E901" s="331"/>
      <c r="F901" s="331"/>
      <c r="G901" s="355"/>
      <c r="H901" s="333"/>
    </row>
    <row r="902" spans="1:8">
      <c r="A902" s="330"/>
      <c r="B902" s="354"/>
      <c r="C902" s="331"/>
      <c r="D902" s="331"/>
      <c r="E902" s="331"/>
      <c r="F902" s="331"/>
      <c r="G902" s="355"/>
      <c r="H902" s="333"/>
    </row>
    <row r="903" spans="1:8">
      <c r="A903" s="330"/>
      <c r="B903" s="354"/>
      <c r="C903" s="331"/>
      <c r="D903" s="331"/>
      <c r="E903" s="331"/>
      <c r="F903" s="331"/>
      <c r="G903" s="355"/>
      <c r="H903" s="333"/>
    </row>
    <row r="904" spans="1:8">
      <c r="A904" s="330"/>
      <c r="B904" s="354"/>
      <c r="C904" s="331"/>
      <c r="D904" s="331"/>
      <c r="E904" s="331"/>
      <c r="F904" s="331"/>
      <c r="G904" s="355"/>
      <c r="H904" s="333"/>
    </row>
    <row r="905" spans="1:8">
      <c r="A905" s="330"/>
      <c r="B905" s="356"/>
      <c r="G905" s="357"/>
      <c r="H905" s="333"/>
    </row>
    <row r="906" spans="1:8">
      <c r="A906" s="337"/>
      <c r="B906" s="752"/>
      <c r="C906" s="753"/>
      <c r="D906" s="753"/>
      <c r="E906" s="753"/>
      <c r="F906" s="358"/>
      <c r="G906" s="359"/>
      <c r="H906" s="360"/>
    </row>
    <row r="907" spans="1:8">
      <c r="A907" s="330"/>
      <c r="B907" s="356"/>
      <c r="G907" s="357"/>
    </row>
    <row r="908" spans="1:8">
      <c r="A908" s="330"/>
      <c r="B908" s="354"/>
      <c r="C908" s="331"/>
      <c r="D908" s="331"/>
      <c r="E908" s="338"/>
      <c r="F908" s="338"/>
      <c r="G908" s="361"/>
      <c r="H908" s="339"/>
    </row>
    <row r="909" spans="1:8">
      <c r="A909" s="330"/>
      <c r="B909" s="730"/>
      <c r="C909" s="731"/>
      <c r="D909" s="731"/>
      <c r="E909" s="731"/>
      <c r="F909" s="343"/>
      <c r="G909" s="362"/>
      <c r="H909" s="743"/>
    </row>
    <row r="910" spans="1:8">
      <c r="A910" s="330"/>
      <c r="B910" s="730"/>
      <c r="C910" s="731"/>
      <c r="D910" s="731"/>
      <c r="E910" s="731"/>
      <c r="F910" s="343"/>
      <c r="G910" s="362"/>
      <c r="H910" s="743"/>
    </row>
    <row r="911" spans="1:8">
      <c r="A911" s="330"/>
      <c r="B911" s="363"/>
      <c r="C911" s="343"/>
      <c r="D911" s="343"/>
      <c r="E911" s="343"/>
      <c r="F911" s="343"/>
      <c r="G911" s="362"/>
      <c r="H911" s="344"/>
    </row>
    <row r="912" spans="1:8">
      <c r="A912" s="330"/>
      <c r="B912" s="364"/>
      <c r="C912" s="332"/>
      <c r="D912" s="332"/>
      <c r="E912" s="332"/>
      <c r="F912" s="332"/>
      <c r="G912" s="365"/>
      <c r="H912" s="332"/>
    </row>
    <row r="913" spans="1:8">
      <c r="A913" s="330"/>
      <c r="B913" s="737"/>
      <c r="C913" s="738"/>
      <c r="D913" s="738"/>
      <c r="E913" s="738"/>
      <c r="F913" s="331"/>
      <c r="G913" s="355"/>
      <c r="H913" s="345"/>
    </row>
    <row r="914" spans="1:8">
      <c r="A914" s="330"/>
      <c r="B914" s="737"/>
      <c r="C914" s="738"/>
      <c r="D914" s="738"/>
      <c r="E914" s="738"/>
      <c r="F914" s="331"/>
      <c r="G914" s="355"/>
      <c r="H914" s="345"/>
    </row>
    <row r="915" spans="1:8">
      <c r="A915" s="330"/>
      <c r="B915" s="354" t="s">
        <v>775</v>
      </c>
      <c r="C915" s="331"/>
      <c r="D915" s="331"/>
      <c r="E915" s="331"/>
      <c r="F915" s="331"/>
      <c r="G915" s="355"/>
      <c r="H915" s="345"/>
    </row>
    <row r="916" spans="1:8">
      <c r="A916" s="330"/>
      <c r="B916" s="737"/>
      <c r="C916" s="738"/>
      <c r="D916" s="738"/>
      <c r="E916" s="738"/>
      <c r="F916" s="331"/>
      <c r="G916" s="355"/>
      <c r="H916" s="345"/>
    </row>
    <row r="917" spans="1:8" ht="27.75">
      <c r="A917" s="330"/>
      <c r="B917" s="373"/>
      <c r="C917" s="341"/>
      <c r="D917" s="739" t="s">
        <v>762</v>
      </c>
      <c r="E917" s="739"/>
      <c r="F917" s="330"/>
      <c r="G917" s="366"/>
      <c r="H917" s="339"/>
    </row>
    <row r="918" spans="1:8">
      <c r="A918" s="330"/>
      <c r="B918" s="356"/>
      <c r="G918" s="357"/>
    </row>
    <row r="919" spans="1:8">
      <c r="A919" s="330"/>
      <c r="B919" s="373"/>
      <c r="C919" s="341"/>
      <c r="D919" s="733"/>
      <c r="E919" s="733"/>
      <c r="F919" s="332"/>
      <c r="G919" s="365"/>
      <c r="H919" s="339"/>
    </row>
    <row r="920" spans="1:8">
      <c r="A920" s="330"/>
      <c r="B920" s="356"/>
      <c r="D920" s="733" t="s">
        <v>801</v>
      </c>
      <c r="E920" s="733"/>
      <c r="G920" s="357"/>
    </row>
    <row r="921" spans="1:8">
      <c r="A921" s="330"/>
      <c r="B921" s="730"/>
      <c r="C921" s="731"/>
      <c r="D921" s="731"/>
      <c r="E921" s="338"/>
      <c r="F921" s="338"/>
      <c r="G921" s="361"/>
      <c r="H921" s="331"/>
    </row>
    <row r="922" spans="1:8">
      <c r="A922" s="330"/>
      <c r="B922" s="730"/>
      <c r="C922" s="731"/>
      <c r="D922" s="731"/>
      <c r="E922" s="338"/>
      <c r="F922" s="338"/>
      <c r="G922" s="361"/>
      <c r="H922" s="331"/>
    </row>
    <row r="923" spans="1:8">
      <c r="A923" s="330"/>
      <c r="B923" s="356"/>
      <c r="D923" s="732" t="s">
        <v>806</v>
      </c>
      <c r="E923" s="732"/>
      <c r="F923" s="338"/>
      <c r="G923" s="361"/>
    </row>
    <row r="924" spans="1:8">
      <c r="A924" s="330"/>
      <c r="B924" s="354"/>
      <c r="C924" s="331"/>
      <c r="D924" s="331"/>
      <c r="E924" s="338"/>
      <c r="F924" s="338"/>
      <c r="G924" s="361"/>
      <c r="H924" s="331"/>
    </row>
    <row r="925" spans="1:8">
      <c r="A925" s="330"/>
      <c r="B925" s="354"/>
      <c r="C925" s="331"/>
      <c r="D925" s="733" t="s">
        <v>802</v>
      </c>
      <c r="E925" s="733"/>
      <c r="F925" s="338"/>
      <c r="G925" s="361"/>
      <c r="H925" s="331"/>
    </row>
    <row r="926" spans="1:8">
      <c r="A926" s="330"/>
      <c r="B926" s="354"/>
      <c r="C926" s="331"/>
      <c r="D926" s="734" t="s">
        <v>807</v>
      </c>
      <c r="E926" s="734"/>
      <c r="F926" s="338"/>
      <c r="G926" s="361"/>
      <c r="H926" s="331"/>
    </row>
    <row r="927" spans="1:8">
      <c r="A927" s="330"/>
      <c r="B927" s="735"/>
      <c r="C927" s="736"/>
      <c r="D927" s="736"/>
      <c r="E927" s="338"/>
      <c r="F927" s="338"/>
      <c r="G927" s="361"/>
    </row>
    <row r="928" spans="1:8">
      <c r="A928" s="330"/>
      <c r="B928" s="735"/>
      <c r="C928" s="736"/>
      <c r="D928" s="736"/>
      <c r="E928" s="338"/>
      <c r="F928" s="338"/>
      <c r="G928" s="361"/>
    </row>
    <row r="929" spans="1:8">
      <c r="A929" s="330"/>
      <c r="B929" s="354"/>
      <c r="C929" s="331"/>
      <c r="E929" s="338"/>
      <c r="F929" s="338"/>
      <c r="G929" s="361"/>
    </row>
    <row r="930" spans="1:8">
      <c r="A930" s="330"/>
      <c r="B930" s="737"/>
      <c r="C930" s="738"/>
      <c r="D930" s="738"/>
      <c r="E930" s="338"/>
      <c r="F930" s="338"/>
      <c r="G930" s="361"/>
      <c r="H930" s="331"/>
    </row>
    <row r="931" spans="1:8">
      <c r="A931" s="330"/>
      <c r="B931" s="356"/>
      <c r="E931" s="338"/>
      <c r="F931" s="338"/>
      <c r="G931" s="361"/>
    </row>
    <row r="932" spans="1:8">
      <c r="A932" s="330"/>
      <c r="B932" s="356"/>
      <c r="E932" s="338"/>
      <c r="F932" s="338"/>
      <c r="G932" s="361"/>
    </row>
    <row r="933" spans="1:8">
      <c r="A933" s="330"/>
      <c r="B933" s="356"/>
      <c r="E933" s="338"/>
      <c r="F933" s="338"/>
      <c r="G933" s="361"/>
      <c r="H933" s="350"/>
    </row>
    <row r="934" spans="1:8">
      <c r="A934" s="330"/>
      <c r="B934" s="356"/>
      <c r="E934" s="338"/>
      <c r="F934" s="338"/>
      <c r="G934" s="361"/>
    </row>
    <row r="935" spans="1:8">
      <c r="A935" s="330"/>
      <c r="B935" s="744"/>
      <c r="C935" s="745"/>
      <c r="D935" s="746"/>
      <c r="E935" s="338"/>
      <c r="F935" s="338"/>
      <c r="G935" s="361"/>
      <c r="H935" s="331"/>
    </row>
    <row r="936" spans="1:8">
      <c r="A936" s="330"/>
      <c r="B936" s="356"/>
      <c r="D936" s="357"/>
      <c r="E936" s="338"/>
      <c r="F936" s="338"/>
      <c r="G936" s="361"/>
    </row>
    <row r="937" spans="1:8">
      <c r="A937" s="330"/>
      <c r="B937" s="356"/>
      <c r="D937" s="367" t="s">
        <v>797</v>
      </c>
      <c r="E937" s="338"/>
      <c r="F937" s="338"/>
      <c r="G937" s="361"/>
    </row>
    <row r="938" spans="1:8">
      <c r="A938" s="330"/>
      <c r="B938" s="356"/>
      <c r="D938" s="357" t="s">
        <v>798</v>
      </c>
      <c r="E938" s="338"/>
      <c r="F938" s="338"/>
      <c r="G938" s="361"/>
      <c r="H938" s="351"/>
    </row>
    <row r="939" spans="1:8">
      <c r="A939" s="330"/>
      <c r="B939" s="354"/>
      <c r="C939" s="331"/>
      <c r="D939" s="355" t="s">
        <v>799</v>
      </c>
      <c r="E939" s="338"/>
      <c r="F939" s="338"/>
      <c r="G939" s="361"/>
      <c r="H939" s="331"/>
    </row>
    <row r="940" spans="1:8">
      <c r="A940" s="330"/>
      <c r="B940" s="354"/>
      <c r="C940" s="331"/>
      <c r="D940" s="355" t="s">
        <v>800</v>
      </c>
      <c r="E940" s="338"/>
      <c r="F940" s="338"/>
      <c r="G940" s="361"/>
      <c r="H940" s="331"/>
    </row>
    <row r="941" spans="1:8">
      <c r="A941" s="330"/>
      <c r="B941" s="354"/>
      <c r="C941" s="331"/>
      <c r="D941" s="355"/>
      <c r="E941" s="338"/>
      <c r="F941" s="338"/>
      <c r="G941" s="361"/>
      <c r="H941" s="331"/>
    </row>
    <row r="942" spans="1:8">
      <c r="A942" s="330"/>
      <c r="B942" s="354"/>
      <c r="C942" s="331"/>
      <c r="D942" s="355"/>
      <c r="E942" s="338"/>
      <c r="F942" s="338"/>
      <c r="G942" s="361"/>
      <c r="H942" s="331"/>
    </row>
    <row r="943" spans="1:8">
      <c r="A943" s="330"/>
      <c r="B943" s="368"/>
      <c r="C943" s="369"/>
      <c r="D943" s="370"/>
      <c r="E943" s="371"/>
      <c r="F943" s="371"/>
      <c r="G943" s="372"/>
      <c r="H943" s="331"/>
    </row>
    <row r="944" spans="1:8">
      <c r="A944" s="330"/>
      <c r="B944" s="736"/>
      <c r="C944" s="736"/>
      <c r="D944" s="736"/>
      <c r="E944" s="338"/>
      <c r="F944" s="338"/>
      <c r="G944" s="338"/>
      <c r="H944" s="345"/>
    </row>
    <row r="945" spans="1:8">
      <c r="A945" s="330"/>
      <c r="B945" s="736"/>
      <c r="C945" s="736"/>
      <c r="D945" s="736"/>
      <c r="E945" s="338"/>
      <c r="F945" s="338"/>
      <c r="G945" s="338"/>
    </row>
    <row r="946" spans="1:8">
      <c r="A946" s="328"/>
      <c r="B946" s="747"/>
      <c r="C946" s="747"/>
      <c r="D946" s="747"/>
      <c r="E946" s="747"/>
      <c r="F946" s="747"/>
      <c r="G946" s="747"/>
      <c r="H946" s="747"/>
    </row>
    <row r="947" spans="1:8">
      <c r="A947" s="329"/>
      <c r="B947" s="747"/>
      <c r="C947" s="747"/>
      <c r="D947" s="747"/>
      <c r="E947" s="747"/>
      <c r="F947" s="747"/>
      <c r="G947" s="747"/>
      <c r="H947" s="747"/>
    </row>
    <row r="948" spans="1:8">
      <c r="A948" s="330"/>
      <c r="B948" s="748"/>
      <c r="C948" s="749"/>
      <c r="D948" s="749"/>
      <c r="E948" s="749"/>
      <c r="F948" s="352"/>
      <c r="G948" s="353"/>
      <c r="H948" s="332"/>
    </row>
    <row r="949" spans="1:8">
      <c r="A949" s="330"/>
      <c r="B949" s="354"/>
      <c r="C949" s="331"/>
      <c r="D949" s="331"/>
      <c r="E949" s="331"/>
      <c r="F949" s="331"/>
      <c r="G949" s="355"/>
      <c r="H949" s="331"/>
    </row>
    <row r="950" spans="1:8">
      <c r="A950" s="330"/>
      <c r="B950" s="354"/>
      <c r="C950" s="331"/>
      <c r="D950" s="331"/>
      <c r="E950" s="331"/>
      <c r="F950" s="331"/>
      <c r="G950" s="355"/>
      <c r="H950" s="331"/>
    </row>
    <row r="951" spans="1:8">
      <c r="A951" s="330"/>
      <c r="B951" s="737"/>
      <c r="C951" s="738"/>
      <c r="D951" s="738"/>
      <c r="E951" s="738"/>
      <c r="F951" s="331"/>
      <c r="G951" s="355"/>
      <c r="H951" s="331"/>
    </row>
    <row r="952" spans="1:8">
      <c r="A952" s="330"/>
      <c r="B952" s="354"/>
      <c r="C952" s="331"/>
      <c r="D952" s="331"/>
      <c r="E952" s="331"/>
      <c r="F952" s="331"/>
      <c r="G952" s="355"/>
      <c r="H952" s="331"/>
    </row>
    <row r="953" spans="1:8">
      <c r="A953" s="330"/>
      <c r="B953" s="354"/>
      <c r="C953" s="331"/>
      <c r="D953" s="331"/>
      <c r="E953" s="331"/>
      <c r="F953" s="331"/>
      <c r="G953" s="355"/>
      <c r="H953" s="331"/>
    </row>
    <row r="954" spans="1:8">
      <c r="A954" s="330"/>
      <c r="B954" s="354"/>
      <c r="C954" s="331"/>
      <c r="D954" s="751" t="s">
        <v>1530</v>
      </c>
      <c r="E954" s="751"/>
      <c r="F954" s="331"/>
      <c r="G954" s="355"/>
      <c r="H954" s="331"/>
    </row>
    <row r="955" spans="1:8">
      <c r="A955" s="330"/>
      <c r="B955" s="356"/>
      <c r="D955" s="751"/>
      <c r="E955" s="751"/>
      <c r="F955" s="331"/>
      <c r="G955" s="355"/>
      <c r="H955" s="331"/>
    </row>
    <row r="956" spans="1:8">
      <c r="A956" s="330"/>
      <c r="B956" s="354"/>
      <c r="C956" s="331"/>
      <c r="D956" s="751"/>
      <c r="E956" s="751"/>
      <c r="F956" s="331"/>
      <c r="G956" s="355"/>
      <c r="H956" s="331"/>
    </row>
    <row r="957" spans="1:8">
      <c r="A957" s="330"/>
      <c r="B957" s="354"/>
      <c r="C957" s="331"/>
      <c r="D957" s="751"/>
      <c r="E957" s="751"/>
      <c r="F957" s="331"/>
      <c r="G957" s="355"/>
      <c r="H957" s="331"/>
    </row>
    <row r="958" spans="1:8">
      <c r="A958" s="330"/>
      <c r="B958" s="354"/>
      <c r="C958" s="331"/>
      <c r="D958" s="751"/>
      <c r="E958" s="751"/>
      <c r="F958" s="331"/>
      <c r="G958" s="355"/>
      <c r="H958" s="331"/>
    </row>
    <row r="959" spans="1:8">
      <c r="A959" s="330"/>
      <c r="B959" s="354"/>
      <c r="C959" s="331"/>
      <c r="D959" s="751"/>
      <c r="E959" s="751"/>
      <c r="F959" s="331"/>
      <c r="G959" s="355"/>
      <c r="H959" s="331"/>
    </row>
    <row r="960" spans="1:8">
      <c r="A960" s="330"/>
      <c r="B960" s="354"/>
      <c r="C960" s="331"/>
      <c r="D960" s="751"/>
      <c r="E960" s="751"/>
      <c r="F960" s="331"/>
      <c r="G960" s="355"/>
      <c r="H960" s="331"/>
    </row>
    <row r="961" spans="1:8">
      <c r="A961" s="330"/>
      <c r="B961" s="354"/>
      <c r="C961" s="331"/>
      <c r="D961" s="751"/>
      <c r="E961" s="751"/>
      <c r="F961" s="331"/>
      <c r="G961" s="355"/>
      <c r="H961" s="331"/>
    </row>
    <row r="962" spans="1:8">
      <c r="A962" s="330"/>
      <c r="B962" s="356"/>
      <c r="D962" s="331"/>
      <c r="E962" s="331"/>
      <c r="F962" s="331"/>
      <c r="G962" s="355"/>
      <c r="H962" s="331"/>
    </row>
    <row r="963" spans="1:8">
      <c r="A963" s="330"/>
      <c r="B963" s="354"/>
      <c r="C963" s="331"/>
      <c r="D963" s="332"/>
      <c r="E963" s="332"/>
      <c r="F963" s="331"/>
      <c r="G963" s="355"/>
      <c r="H963" s="331"/>
    </row>
    <row r="964" spans="1:8">
      <c r="A964" s="330"/>
      <c r="B964" s="354"/>
      <c r="C964" s="331"/>
      <c r="D964" s="331"/>
      <c r="E964" s="331"/>
      <c r="F964" s="331"/>
      <c r="G964" s="355"/>
      <c r="H964" s="333"/>
    </row>
    <row r="965" spans="1:8">
      <c r="A965" s="330"/>
      <c r="B965" s="354"/>
      <c r="C965" s="331"/>
      <c r="D965" s="331"/>
      <c r="E965" s="331"/>
      <c r="F965" s="331"/>
      <c r="G965" s="355"/>
      <c r="H965" s="333"/>
    </row>
    <row r="966" spans="1:8">
      <c r="A966" s="330"/>
      <c r="B966" s="354"/>
      <c r="C966" s="331"/>
      <c r="D966" s="331"/>
      <c r="E966" s="331"/>
      <c r="F966" s="331"/>
      <c r="G966" s="355"/>
      <c r="H966" s="333"/>
    </row>
    <row r="967" spans="1:8">
      <c r="A967" s="330"/>
      <c r="B967" s="354"/>
      <c r="C967" s="331"/>
      <c r="D967" s="331"/>
      <c r="E967" s="331"/>
      <c r="F967" s="331"/>
      <c r="G967" s="355"/>
      <c r="H967" s="333"/>
    </row>
    <row r="968" spans="1:8">
      <c r="A968" s="330"/>
      <c r="B968" s="356"/>
      <c r="G968" s="357"/>
      <c r="H968" s="333"/>
    </row>
    <row r="969" spans="1:8">
      <c r="A969" s="337"/>
      <c r="B969" s="752"/>
      <c r="C969" s="753"/>
      <c r="D969" s="753"/>
      <c r="E969" s="753"/>
      <c r="F969" s="358"/>
      <c r="G969" s="359"/>
      <c r="H969" s="360"/>
    </row>
    <row r="970" spans="1:8">
      <c r="A970" s="330"/>
      <c r="B970" s="356"/>
      <c r="G970" s="357"/>
    </row>
    <row r="971" spans="1:8">
      <c r="A971" s="330"/>
      <c r="B971" s="354"/>
      <c r="C971" s="331"/>
      <c r="D971" s="331"/>
      <c r="E971" s="338"/>
      <c r="F971" s="338"/>
      <c r="G971" s="361"/>
      <c r="H971" s="339"/>
    </row>
    <row r="972" spans="1:8">
      <c r="A972" s="330"/>
      <c r="B972" s="730"/>
      <c r="C972" s="731"/>
      <c r="D972" s="731"/>
      <c r="E972" s="731"/>
      <c r="F972" s="343"/>
      <c r="G972" s="362"/>
      <c r="H972" s="743"/>
    </row>
    <row r="973" spans="1:8">
      <c r="A973" s="330"/>
      <c r="B973" s="730"/>
      <c r="C973" s="731"/>
      <c r="D973" s="731"/>
      <c r="E973" s="731"/>
      <c r="F973" s="343"/>
      <c r="G973" s="362"/>
      <c r="H973" s="743"/>
    </row>
    <row r="974" spans="1:8">
      <c r="A974" s="330"/>
      <c r="B974" s="363"/>
      <c r="C974" s="343"/>
      <c r="D974" s="343"/>
      <c r="E974" s="343"/>
      <c r="F974" s="343"/>
      <c r="G974" s="362"/>
      <c r="H974" s="344"/>
    </row>
    <row r="975" spans="1:8">
      <c r="A975" s="330"/>
      <c r="B975" s="364"/>
      <c r="C975" s="332"/>
      <c r="D975" s="332"/>
      <c r="E975" s="332"/>
      <c r="F975" s="332"/>
      <c r="G975" s="365"/>
      <c r="H975" s="332"/>
    </row>
    <row r="976" spans="1:8">
      <c r="A976" s="330"/>
      <c r="B976" s="737"/>
      <c r="C976" s="738"/>
      <c r="D976" s="738"/>
      <c r="E976" s="738"/>
      <c r="F976" s="331"/>
      <c r="G976" s="355"/>
      <c r="H976" s="345"/>
    </row>
    <row r="977" spans="1:8">
      <c r="A977" s="330"/>
      <c r="B977" s="737"/>
      <c r="C977" s="738"/>
      <c r="D977" s="738"/>
      <c r="E977" s="738"/>
      <c r="F977" s="331"/>
      <c r="G977" s="355"/>
      <c r="H977" s="345"/>
    </row>
    <row r="978" spans="1:8">
      <c r="A978" s="330"/>
      <c r="B978" s="354" t="s">
        <v>775</v>
      </c>
      <c r="C978" s="331"/>
      <c r="D978" s="331"/>
      <c r="E978" s="331"/>
      <c r="F978" s="331"/>
      <c r="G978" s="355"/>
      <c r="H978" s="345"/>
    </row>
    <row r="979" spans="1:8">
      <c r="A979" s="330"/>
      <c r="B979" s="737"/>
      <c r="C979" s="738"/>
      <c r="D979" s="738"/>
      <c r="E979" s="738"/>
      <c r="F979" s="331"/>
      <c r="G979" s="355"/>
      <c r="H979" s="345"/>
    </row>
    <row r="980" spans="1:8" ht="27.75">
      <c r="A980" s="330"/>
      <c r="B980" s="373"/>
      <c r="C980" s="341"/>
      <c r="D980" s="739" t="s">
        <v>762</v>
      </c>
      <c r="E980" s="739"/>
      <c r="F980" s="330"/>
      <c r="G980" s="366"/>
      <c r="H980" s="339"/>
    </row>
    <row r="981" spans="1:8">
      <c r="A981" s="330"/>
      <c r="B981" s="356"/>
      <c r="G981" s="357"/>
    </row>
    <row r="982" spans="1:8">
      <c r="A982" s="330"/>
      <c r="B982" s="373"/>
      <c r="C982" s="341"/>
      <c r="D982" s="733"/>
      <c r="E982" s="733"/>
      <c r="F982" s="332"/>
      <c r="G982" s="365"/>
      <c r="H982" s="339"/>
    </row>
    <row r="983" spans="1:8">
      <c r="A983" s="330"/>
      <c r="B983" s="356"/>
      <c r="D983" s="733" t="s">
        <v>801</v>
      </c>
      <c r="E983" s="733"/>
      <c r="G983" s="357"/>
    </row>
    <row r="984" spans="1:8">
      <c r="A984" s="330"/>
      <c r="B984" s="730"/>
      <c r="C984" s="731"/>
      <c r="D984" s="731"/>
      <c r="E984" s="338"/>
      <c r="F984" s="338"/>
      <c r="G984" s="361"/>
      <c r="H984" s="331"/>
    </row>
    <row r="985" spans="1:8">
      <c r="A985" s="330"/>
      <c r="B985" s="730"/>
      <c r="C985" s="731"/>
      <c r="D985" s="731"/>
      <c r="E985" s="338"/>
      <c r="F985" s="338"/>
      <c r="G985" s="361"/>
      <c r="H985" s="331"/>
    </row>
    <row r="986" spans="1:8">
      <c r="A986" s="330"/>
      <c r="B986" s="356"/>
      <c r="D986" s="732" t="s">
        <v>806</v>
      </c>
      <c r="E986" s="732"/>
      <c r="F986" s="338"/>
      <c r="G986" s="361"/>
    </row>
    <row r="987" spans="1:8">
      <c r="A987" s="330"/>
      <c r="B987" s="354"/>
      <c r="C987" s="331"/>
      <c r="D987" s="331"/>
      <c r="E987" s="338"/>
      <c r="F987" s="338"/>
      <c r="G987" s="361"/>
      <c r="H987" s="331"/>
    </row>
    <row r="988" spans="1:8">
      <c r="A988" s="330"/>
      <c r="B988" s="354"/>
      <c r="C988" s="331"/>
      <c r="D988" s="733" t="s">
        <v>802</v>
      </c>
      <c r="E988" s="733"/>
      <c r="F988" s="338"/>
      <c r="G988" s="361"/>
      <c r="H988" s="331"/>
    </row>
    <row r="989" spans="1:8">
      <c r="A989" s="330"/>
      <c r="B989" s="354"/>
      <c r="C989" s="331"/>
      <c r="D989" s="734" t="s">
        <v>807</v>
      </c>
      <c r="E989" s="734"/>
      <c r="F989" s="338"/>
      <c r="G989" s="361"/>
      <c r="H989" s="331"/>
    </row>
    <row r="990" spans="1:8">
      <c r="A990" s="330"/>
      <c r="B990" s="735"/>
      <c r="C990" s="736"/>
      <c r="D990" s="736"/>
      <c r="E990" s="338"/>
      <c r="F990" s="338"/>
      <c r="G990" s="361"/>
    </row>
    <row r="991" spans="1:8">
      <c r="A991" s="330"/>
      <c r="B991" s="735"/>
      <c r="C991" s="736"/>
      <c r="D991" s="736"/>
      <c r="E991" s="338"/>
      <c r="F991" s="338"/>
      <c r="G991" s="361"/>
    </row>
    <row r="992" spans="1:8">
      <c r="A992" s="330"/>
      <c r="B992" s="354"/>
      <c r="C992" s="331"/>
      <c r="E992" s="338"/>
      <c r="F992" s="338"/>
      <c r="G992" s="361"/>
    </row>
    <row r="993" spans="1:8">
      <c r="A993" s="330"/>
      <c r="B993" s="737"/>
      <c r="C993" s="738"/>
      <c r="D993" s="738"/>
      <c r="E993" s="338"/>
      <c r="F993" s="338"/>
      <c r="G993" s="361"/>
      <c r="H993" s="331"/>
    </row>
    <row r="994" spans="1:8">
      <c r="A994" s="330"/>
      <c r="B994" s="356"/>
      <c r="E994" s="338"/>
      <c r="F994" s="338"/>
      <c r="G994" s="361"/>
    </row>
    <row r="995" spans="1:8">
      <c r="A995" s="330"/>
      <c r="B995" s="356"/>
      <c r="E995" s="338"/>
      <c r="F995" s="338"/>
      <c r="G995" s="361"/>
    </row>
    <row r="996" spans="1:8">
      <c r="A996" s="330"/>
      <c r="B996" s="356"/>
      <c r="E996" s="338"/>
      <c r="F996" s="338"/>
      <c r="G996" s="361"/>
      <c r="H996" s="350"/>
    </row>
    <row r="997" spans="1:8">
      <c r="A997" s="330"/>
      <c r="B997" s="356"/>
      <c r="E997" s="338"/>
      <c r="F997" s="338"/>
      <c r="G997" s="361"/>
    </row>
    <row r="998" spans="1:8">
      <c r="A998" s="330"/>
      <c r="B998" s="744"/>
      <c r="C998" s="745"/>
      <c r="D998" s="746"/>
      <c r="E998" s="338"/>
      <c r="F998" s="338"/>
      <c r="G998" s="361"/>
      <c r="H998" s="331"/>
    </row>
    <row r="999" spans="1:8">
      <c r="A999" s="330"/>
      <c r="B999" s="356"/>
      <c r="D999" s="357"/>
      <c r="E999" s="338"/>
      <c r="F999" s="338"/>
      <c r="G999" s="361"/>
    </row>
    <row r="1000" spans="1:8">
      <c r="A1000" s="330"/>
      <c r="B1000" s="356"/>
      <c r="D1000" s="367" t="s">
        <v>797</v>
      </c>
      <c r="E1000" s="338"/>
      <c r="F1000" s="338"/>
      <c r="G1000" s="361"/>
    </row>
    <row r="1001" spans="1:8">
      <c r="A1001" s="330"/>
      <c r="B1001" s="356"/>
      <c r="D1001" s="357" t="s">
        <v>798</v>
      </c>
      <c r="E1001" s="338"/>
      <c r="F1001" s="338"/>
      <c r="G1001" s="361"/>
      <c r="H1001" s="351"/>
    </row>
    <row r="1002" spans="1:8">
      <c r="A1002" s="330"/>
      <c r="B1002" s="354"/>
      <c r="C1002" s="331"/>
      <c r="D1002" s="355" t="s">
        <v>799</v>
      </c>
      <c r="E1002" s="338"/>
      <c r="F1002" s="338"/>
      <c r="G1002" s="361"/>
      <c r="H1002" s="331"/>
    </row>
    <row r="1003" spans="1:8">
      <c r="A1003" s="330"/>
      <c r="B1003" s="354"/>
      <c r="C1003" s="331"/>
      <c r="D1003" s="355" t="s">
        <v>800</v>
      </c>
      <c r="E1003" s="338"/>
      <c r="F1003" s="338"/>
      <c r="G1003" s="361"/>
      <c r="H1003" s="331"/>
    </row>
    <row r="1004" spans="1:8">
      <c r="A1004" s="330"/>
      <c r="B1004" s="354"/>
      <c r="C1004" s="331"/>
      <c r="D1004" s="355"/>
      <c r="E1004" s="338"/>
      <c r="F1004" s="338"/>
      <c r="G1004" s="361"/>
      <c r="H1004" s="331"/>
    </row>
    <row r="1005" spans="1:8">
      <c r="A1005" s="330"/>
      <c r="B1005" s="354"/>
      <c r="C1005" s="331"/>
      <c r="D1005" s="355"/>
      <c r="E1005" s="338"/>
      <c r="F1005" s="338"/>
      <c r="G1005" s="361"/>
      <c r="H1005" s="331"/>
    </row>
    <row r="1006" spans="1:8">
      <c r="A1006" s="330"/>
      <c r="B1006" s="368"/>
      <c r="C1006" s="369"/>
      <c r="D1006" s="370"/>
      <c r="E1006" s="371"/>
      <c r="F1006" s="371"/>
      <c r="G1006" s="372"/>
      <c r="H1006" s="331"/>
    </row>
    <row r="1007" spans="1:8">
      <c r="A1007" s="330"/>
      <c r="B1007" s="736"/>
      <c r="C1007" s="736"/>
      <c r="D1007" s="736"/>
      <c r="E1007" s="338"/>
      <c r="F1007" s="338"/>
      <c r="G1007" s="338"/>
      <c r="H1007" s="345"/>
    </row>
    <row r="1008" spans="1:8">
      <c r="A1008" s="330"/>
      <c r="B1008" s="736"/>
      <c r="C1008" s="736"/>
      <c r="D1008" s="736"/>
      <c r="E1008" s="338"/>
      <c r="F1008" s="338"/>
      <c r="G1008" s="338"/>
    </row>
    <row r="1010" spans="1:8">
      <c r="A1010" s="328"/>
      <c r="B1010" s="747"/>
      <c r="C1010" s="747"/>
      <c r="D1010" s="747"/>
      <c r="E1010" s="747"/>
      <c r="F1010" s="747"/>
      <c r="G1010" s="747"/>
      <c r="H1010" s="747"/>
    </row>
    <row r="1011" spans="1:8">
      <c r="A1011" s="329"/>
      <c r="B1011" s="747"/>
      <c r="C1011" s="747"/>
      <c r="D1011" s="747"/>
      <c r="E1011" s="747"/>
      <c r="F1011" s="747"/>
      <c r="G1011" s="747"/>
      <c r="H1011" s="747"/>
    </row>
    <row r="1012" spans="1:8">
      <c r="A1012" s="330"/>
      <c r="B1012" s="748"/>
      <c r="C1012" s="749"/>
      <c r="D1012" s="749"/>
      <c r="E1012" s="749"/>
      <c r="F1012" s="352"/>
      <c r="G1012" s="353"/>
      <c r="H1012" s="332"/>
    </row>
    <row r="1013" spans="1:8">
      <c r="A1013" s="330"/>
      <c r="B1013" s="354"/>
      <c r="C1013" s="331"/>
      <c r="D1013" s="331"/>
      <c r="E1013" s="331"/>
      <c r="F1013" s="331"/>
      <c r="G1013" s="355"/>
      <c r="H1013" s="331"/>
    </row>
    <row r="1014" spans="1:8">
      <c r="A1014" s="330"/>
      <c r="B1014" s="354"/>
      <c r="C1014" s="331"/>
      <c r="D1014" s="331"/>
      <c r="E1014" s="331"/>
      <c r="F1014" s="331"/>
      <c r="G1014" s="355"/>
      <c r="H1014" s="331"/>
    </row>
    <row r="1015" spans="1:8">
      <c r="A1015" s="330"/>
      <c r="B1015" s="737"/>
      <c r="C1015" s="738"/>
      <c r="D1015" s="738"/>
      <c r="E1015" s="738"/>
      <c r="F1015" s="331"/>
      <c r="G1015" s="355"/>
      <c r="H1015" s="331"/>
    </row>
    <row r="1016" spans="1:8">
      <c r="A1016" s="330"/>
      <c r="B1016" s="354"/>
      <c r="C1016" s="331"/>
      <c r="D1016" s="331"/>
      <c r="E1016" s="331"/>
      <c r="F1016" s="331"/>
      <c r="G1016" s="355"/>
      <c r="H1016" s="331"/>
    </row>
    <row r="1017" spans="1:8">
      <c r="A1017" s="330"/>
      <c r="B1017" s="354"/>
      <c r="C1017" s="331"/>
      <c r="D1017" s="331"/>
      <c r="E1017" s="331"/>
      <c r="F1017" s="331"/>
      <c r="G1017" s="355"/>
      <c r="H1017" s="331"/>
    </row>
    <row r="1018" spans="1:8" ht="15.75" customHeight="1">
      <c r="A1018" s="330"/>
      <c r="B1018" s="354"/>
      <c r="C1018" s="331"/>
      <c r="D1018" s="751" t="s">
        <v>1744</v>
      </c>
      <c r="E1018" s="751"/>
      <c r="F1018" s="331"/>
      <c r="G1018" s="355"/>
      <c r="H1018" s="331"/>
    </row>
    <row r="1019" spans="1:8" ht="15.75" customHeight="1">
      <c r="A1019" s="330"/>
      <c r="B1019" s="356"/>
      <c r="D1019" s="751"/>
      <c r="E1019" s="751"/>
      <c r="F1019" s="331"/>
      <c r="G1019" s="355"/>
      <c r="H1019" s="331"/>
    </row>
    <row r="1020" spans="1:8" ht="15.75" customHeight="1">
      <c r="A1020" s="330"/>
      <c r="B1020" s="354"/>
      <c r="C1020" s="331"/>
      <c r="D1020" s="751"/>
      <c r="E1020" s="751"/>
      <c r="F1020" s="331"/>
      <c r="G1020" s="355"/>
      <c r="H1020" s="331"/>
    </row>
    <row r="1021" spans="1:8" ht="15.75" customHeight="1">
      <c r="A1021" s="330"/>
      <c r="B1021" s="354"/>
      <c r="C1021" s="331"/>
      <c r="D1021" s="751"/>
      <c r="E1021" s="751"/>
      <c r="F1021" s="331"/>
      <c r="G1021" s="355"/>
      <c r="H1021" s="331"/>
    </row>
    <row r="1022" spans="1:8" ht="15.75" customHeight="1">
      <c r="A1022" s="330"/>
      <c r="B1022" s="354"/>
      <c r="C1022" s="331"/>
      <c r="D1022" s="751"/>
      <c r="E1022" s="751"/>
      <c r="F1022" s="331"/>
      <c r="G1022" s="355"/>
      <c r="H1022" s="331"/>
    </row>
    <row r="1023" spans="1:8" ht="15.75" customHeight="1">
      <c r="A1023" s="330"/>
      <c r="B1023" s="354"/>
      <c r="C1023" s="331"/>
      <c r="D1023" s="751"/>
      <c r="E1023" s="751"/>
      <c r="F1023" s="331"/>
      <c r="G1023" s="355"/>
      <c r="H1023" s="331"/>
    </row>
    <row r="1024" spans="1:8" ht="15.75" customHeight="1">
      <c r="A1024" s="330"/>
      <c r="B1024" s="354"/>
      <c r="C1024" s="331"/>
      <c r="D1024" s="751"/>
      <c r="E1024" s="751"/>
      <c r="F1024" s="331"/>
      <c r="G1024" s="355"/>
      <c r="H1024" s="331"/>
    </row>
    <row r="1025" spans="1:8" ht="15.75" customHeight="1">
      <c r="A1025" s="330"/>
      <c r="B1025" s="354"/>
      <c r="C1025" s="331"/>
      <c r="D1025" s="751"/>
      <c r="E1025" s="751"/>
      <c r="F1025" s="331"/>
      <c r="G1025" s="355"/>
      <c r="H1025" s="331"/>
    </row>
    <row r="1026" spans="1:8">
      <c r="A1026" s="330"/>
      <c r="B1026" s="356"/>
      <c r="D1026" s="751"/>
      <c r="E1026" s="751"/>
      <c r="F1026" s="331"/>
      <c r="G1026" s="355"/>
      <c r="H1026" s="331"/>
    </row>
    <row r="1027" spans="1:8">
      <c r="A1027" s="330"/>
      <c r="B1027" s="354"/>
      <c r="C1027" s="331"/>
      <c r="D1027" s="751"/>
      <c r="E1027" s="751"/>
      <c r="F1027" s="331"/>
      <c r="G1027" s="355"/>
      <c r="H1027" s="331"/>
    </row>
    <row r="1028" spans="1:8">
      <c r="A1028" s="330"/>
      <c r="B1028" s="354"/>
      <c r="C1028" s="331"/>
      <c r="D1028" s="751"/>
      <c r="E1028" s="751"/>
      <c r="F1028" s="331"/>
      <c r="G1028" s="355"/>
      <c r="H1028" s="333"/>
    </row>
    <row r="1029" spans="1:8">
      <c r="A1029" s="330"/>
      <c r="B1029" s="354"/>
      <c r="C1029" s="331"/>
      <c r="D1029" s="331"/>
      <c r="E1029" s="331"/>
      <c r="F1029" s="331"/>
      <c r="G1029" s="355"/>
      <c r="H1029" s="333"/>
    </row>
    <row r="1030" spans="1:8">
      <c r="A1030" s="330"/>
      <c r="B1030" s="354"/>
      <c r="C1030" s="331"/>
      <c r="D1030" s="331"/>
      <c r="E1030" s="331"/>
      <c r="F1030" s="331"/>
      <c r="G1030" s="355"/>
      <c r="H1030" s="333"/>
    </row>
    <row r="1031" spans="1:8">
      <c r="A1031" s="330"/>
      <c r="B1031" s="354"/>
      <c r="C1031" s="331"/>
      <c r="D1031" s="331"/>
      <c r="E1031" s="331"/>
      <c r="F1031" s="331"/>
      <c r="G1031" s="355"/>
      <c r="H1031" s="333"/>
    </row>
    <row r="1032" spans="1:8">
      <c r="A1032" s="330"/>
      <c r="B1032" s="356"/>
      <c r="G1032" s="357"/>
      <c r="H1032" s="333"/>
    </row>
    <row r="1033" spans="1:8">
      <c r="A1033" s="337"/>
      <c r="B1033" s="752"/>
      <c r="C1033" s="753"/>
      <c r="D1033" s="753"/>
      <c r="E1033" s="753"/>
      <c r="F1033" s="358"/>
      <c r="G1033" s="359"/>
      <c r="H1033" s="360"/>
    </row>
    <row r="1034" spans="1:8">
      <c r="A1034" s="330"/>
      <c r="B1034" s="356"/>
      <c r="G1034" s="357"/>
    </row>
    <row r="1035" spans="1:8">
      <c r="A1035" s="330"/>
      <c r="B1035" s="354"/>
      <c r="C1035" s="331"/>
      <c r="D1035" s="331"/>
      <c r="E1035" s="338"/>
      <c r="F1035" s="338"/>
      <c r="G1035" s="361"/>
      <c r="H1035" s="339"/>
    </row>
    <row r="1036" spans="1:8">
      <c r="A1036" s="330"/>
      <c r="B1036" s="730"/>
      <c r="C1036" s="731"/>
      <c r="D1036" s="731"/>
      <c r="E1036" s="731"/>
      <c r="F1036" s="343"/>
      <c r="G1036" s="362"/>
      <c r="H1036" s="743"/>
    </row>
    <row r="1037" spans="1:8">
      <c r="A1037" s="330"/>
      <c r="B1037" s="730"/>
      <c r="C1037" s="731"/>
      <c r="D1037" s="731"/>
      <c r="E1037" s="731"/>
      <c r="F1037" s="343"/>
      <c r="G1037" s="362"/>
      <c r="H1037" s="743"/>
    </row>
    <row r="1038" spans="1:8">
      <c r="A1038" s="330"/>
      <c r="B1038" s="363"/>
      <c r="C1038" s="343"/>
      <c r="D1038" s="343"/>
      <c r="E1038" s="343"/>
      <c r="F1038" s="343"/>
      <c r="G1038" s="362"/>
      <c r="H1038" s="344"/>
    </row>
    <row r="1039" spans="1:8">
      <c r="A1039" s="330"/>
      <c r="B1039" s="364"/>
      <c r="C1039" s="332"/>
      <c r="D1039" s="332"/>
      <c r="E1039" s="332"/>
      <c r="F1039" s="332"/>
      <c r="G1039" s="365"/>
      <c r="H1039" s="332"/>
    </row>
    <row r="1040" spans="1:8">
      <c r="A1040" s="330"/>
      <c r="B1040" s="737"/>
      <c r="C1040" s="738"/>
      <c r="D1040" s="738"/>
      <c r="E1040" s="738"/>
      <c r="F1040" s="331"/>
      <c r="G1040" s="355"/>
      <c r="H1040" s="345"/>
    </row>
    <row r="1041" spans="1:8">
      <c r="A1041" s="330"/>
      <c r="B1041" s="737"/>
      <c r="C1041" s="738"/>
      <c r="D1041" s="738"/>
      <c r="E1041" s="738"/>
      <c r="F1041" s="331"/>
      <c r="G1041" s="355"/>
      <c r="H1041" s="345"/>
    </row>
    <row r="1042" spans="1:8">
      <c r="A1042" s="330"/>
      <c r="B1042" s="354" t="s">
        <v>775</v>
      </c>
      <c r="C1042" s="331"/>
      <c r="D1042" s="331"/>
      <c r="E1042" s="331"/>
      <c r="F1042" s="331"/>
      <c r="G1042" s="355"/>
      <c r="H1042" s="345"/>
    </row>
    <row r="1043" spans="1:8">
      <c r="A1043" s="330"/>
      <c r="B1043" s="737"/>
      <c r="C1043" s="738"/>
      <c r="D1043" s="738"/>
      <c r="E1043" s="738"/>
      <c r="F1043" s="331"/>
      <c r="G1043" s="355"/>
      <c r="H1043" s="345"/>
    </row>
    <row r="1044" spans="1:8" ht="27.75">
      <c r="A1044" s="330"/>
      <c r="B1044" s="373"/>
      <c r="C1044" s="341"/>
      <c r="D1044" s="739" t="s">
        <v>762</v>
      </c>
      <c r="E1044" s="739"/>
      <c r="F1044" s="330"/>
      <c r="G1044" s="366"/>
      <c r="H1044" s="339"/>
    </row>
    <row r="1045" spans="1:8">
      <c r="A1045" s="330"/>
      <c r="B1045" s="356"/>
      <c r="G1045" s="357"/>
    </row>
    <row r="1046" spans="1:8">
      <c r="A1046" s="330"/>
      <c r="B1046" s="373"/>
      <c r="C1046" s="341"/>
      <c r="D1046" s="733"/>
      <c r="E1046" s="733"/>
      <c r="F1046" s="332"/>
      <c r="G1046" s="365"/>
      <c r="H1046" s="339"/>
    </row>
    <row r="1047" spans="1:8">
      <c r="A1047" s="330"/>
      <c r="B1047" s="356"/>
      <c r="D1047" s="733" t="s">
        <v>801</v>
      </c>
      <c r="E1047" s="733"/>
      <c r="G1047" s="357"/>
    </row>
    <row r="1048" spans="1:8">
      <c r="A1048" s="330"/>
      <c r="B1048" s="730"/>
      <c r="C1048" s="731"/>
      <c r="D1048" s="731"/>
      <c r="E1048" s="338"/>
      <c r="F1048" s="338"/>
      <c r="G1048" s="361"/>
      <c r="H1048" s="331"/>
    </row>
    <row r="1049" spans="1:8">
      <c r="A1049" s="330"/>
      <c r="B1049" s="730"/>
      <c r="C1049" s="731"/>
      <c r="D1049" s="731"/>
      <c r="E1049" s="338"/>
      <c r="F1049" s="338"/>
      <c r="G1049" s="361"/>
      <c r="H1049" s="331"/>
    </row>
    <row r="1050" spans="1:8">
      <c r="A1050" s="330"/>
      <c r="B1050" s="356"/>
      <c r="D1050" s="732" t="s">
        <v>806</v>
      </c>
      <c r="E1050" s="732"/>
      <c r="F1050" s="338"/>
      <c r="G1050" s="361"/>
    </row>
    <row r="1051" spans="1:8">
      <c r="A1051" s="330"/>
      <c r="B1051" s="354"/>
      <c r="C1051" s="331"/>
      <c r="D1051" s="331"/>
      <c r="E1051" s="338"/>
      <c r="F1051" s="338"/>
      <c r="G1051" s="361"/>
      <c r="H1051" s="331"/>
    </row>
    <row r="1052" spans="1:8">
      <c r="A1052" s="330"/>
      <c r="B1052" s="354"/>
      <c r="C1052" s="331"/>
      <c r="D1052" s="733" t="s">
        <v>802</v>
      </c>
      <c r="E1052" s="733"/>
      <c r="F1052" s="338"/>
      <c r="G1052" s="361"/>
      <c r="H1052" s="331"/>
    </row>
    <row r="1053" spans="1:8">
      <c r="A1053" s="330"/>
      <c r="B1053" s="354"/>
      <c r="C1053" s="331"/>
      <c r="D1053" s="734" t="s">
        <v>807</v>
      </c>
      <c r="E1053" s="734"/>
      <c r="F1053" s="338"/>
      <c r="G1053" s="361"/>
      <c r="H1053" s="331"/>
    </row>
    <row r="1054" spans="1:8">
      <c r="A1054" s="330"/>
      <c r="B1054" s="735"/>
      <c r="C1054" s="736"/>
      <c r="D1054" s="736"/>
      <c r="E1054" s="338"/>
      <c r="F1054" s="338"/>
      <c r="G1054" s="361"/>
    </row>
    <row r="1055" spans="1:8">
      <c r="A1055" s="330"/>
      <c r="B1055" s="735"/>
      <c r="C1055" s="736"/>
      <c r="D1055" s="736"/>
      <c r="E1055" s="338"/>
      <c r="F1055" s="338"/>
      <c r="G1055" s="361"/>
    </row>
    <row r="1056" spans="1:8">
      <c r="A1056" s="330"/>
      <c r="B1056" s="354"/>
      <c r="C1056" s="331"/>
      <c r="E1056" s="338"/>
      <c r="F1056" s="338"/>
      <c r="G1056" s="361"/>
    </row>
    <row r="1057" spans="1:8">
      <c r="A1057" s="330"/>
      <c r="B1057" s="737"/>
      <c r="C1057" s="738"/>
      <c r="D1057" s="738"/>
      <c r="E1057" s="338"/>
      <c r="F1057" s="338"/>
      <c r="G1057" s="361"/>
      <c r="H1057" s="331"/>
    </row>
    <row r="1058" spans="1:8">
      <c r="A1058" s="330"/>
      <c r="B1058" s="356"/>
      <c r="E1058" s="338"/>
      <c r="F1058" s="338"/>
      <c r="G1058" s="361"/>
    </row>
    <row r="1059" spans="1:8">
      <c r="A1059" s="330"/>
      <c r="B1059" s="356"/>
      <c r="E1059" s="338"/>
      <c r="F1059" s="338"/>
      <c r="G1059" s="361"/>
    </row>
    <row r="1060" spans="1:8">
      <c r="A1060" s="330"/>
      <c r="B1060" s="356"/>
      <c r="E1060" s="338"/>
      <c r="F1060" s="338"/>
      <c r="G1060" s="361"/>
      <c r="H1060" s="350"/>
    </row>
    <row r="1061" spans="1:8">
      <c r="A1061" s="330"/>
      <c r="B1061" s="356"/>
      <c r="E1061" s="338"/>
      <c r="F1061" s="338"/>
      <c r="G1061" s="361"/>
    </row>
    <row r="1062" spans="1:8">
      <c r="A1062" s="330"/>
      <c r="B1062" s="744"/>
      <c r="C1062" s="745"/>
      <c r="D1062" s="746"/>
      <c r="E1062" s="338"/>
      <c r="F1062" s="338"/>
      <c r="G1062" s="361"/>
      <c r="H1062" s="331"/>
    </row>
    <row r="1063" spans="1:8">
      <c r="A1063" s="330"/>
      <c r="B1063" s="356"/>
      <c r="D1063" s="357"/>
      <c r="E1063" s="338"/>
      <c r="F1063" s="338"/>
      <c r="G1063" s="361"/>
    </row>
    <row r="1064" spans="1:8">
      <c r="A1064" s="330"/>
      <c r="B1064" s="356"/>
      <c r="D1064" s="367" t="s">
        <v>797</v>
      </c>
      <c r="E1064" s="338"/>
      <c r="F1064" s="338"/>
      <c r="G1064" s="361"/>
    </row>
    <row r="1065" spans="1:8">
      <c r="A1065" s="330"/>
      <c r="B1065" s="356"/>
      <c r="D1065" s="357" t="s">
        <v>798</v>
      </c>
      <c r="E1065" s="338"/>
      <c r="F1065" s="338"/>
      <c r="G1065" s="361"/>
      <c r="H1065" s="351"/>
    </row>
    <row r="1066" spans="1:8">
      <c r="A1066" s="330"/>
      <c r="B1066" s="354"/>
      <c r="C1066" s="331"/>
      <c r="D1066" s="355" t="s">
        <v>799</v>
      </c>
      <c r="E1066" s="338"/>
      <c r="F1066" s="338"/>
      <c r="G1066" s="361"/>
      <c r="H1066" s="331"/>
    </row>
    <row r="1067" spans="1:8">
      <c r="A1067" s="330"/>
      <c r="B1067" s="354"/>
      <c r="C1067" s="331"/>
      <c r="D1067" s="355" t="s">
        <v>800</v>
      </c>
      <c r="E1067" s="338"/>
      <c r="F1067" s="338"/>
      <c r="G1067" s="361"/>
      <c r="H1067" s="331"/>
    </row>
    <row r="1068" spans="1:8">
      <c r="A1068" s="330"/>
      <c r="B1068" s="354"/>
      <c r="C1068" s="331"/>
      <c r="D1068" s="355"/>
      <c r="E1068" s="338"/>
      <c r="F1068" s="338"/>
      <c r="G1068" s="361"/>
      <c r="H1068" s="331"/>
    </row>
    <row r="1069" spans="1:8">
      <c r="A1069" s="330"/>
      <c r="B1069" s="354"/>
      <c r="C1069" s="331"/>
      <c r="D1069" s="355"/>
      <c r="E1069" s="338"/>
      <c r="F1069" s="338"/>
      <c r="G1069" s="361"/>
      <c r="H1069" s="331"/>
    </row>
    <row r="1070" spans="1:8">
      <c r="A1070" s="330"/>
      <c r="B1070" s="368"/>
      <c r="C1070" s="369"/>
      <c r="D1070" s="370"/>
      <c r="E1070" s="371"/>
      <c r="F1070" s="371"/>
      <c r="G1070" s="372"/>
      <c r="H1070" s="331"/>
    </row>
    <row r="1071" spans="1:8">
      <c r="A1071" s="330"/>
      <c r="B1071" s="736"/>
      <c r="C1071" s="736"/>
      <c r="D1071" s="736"/>
      <c r="E1071" s="338"/>
      <c r="F1071" s="338"/>
      <c r="G1071" s="338"/>
      <c r="H1071" s="345"/>
    </row>
    <row r="1072" spans="1:8">
      <c r="A1072" s="330"/>
      <c r="B1072" s="736"/>
      <c r="C1072" s="736"/>
      <c r="D1072" s="736"/>
      <c r="E1072" s="338"/>
      <c r="F1072" s="338"/>
      <c r="G1072" s="338"/>
    </row>
    <row r="1074" spans="1:8">
      <c r="A1074" s="328"/>
      <c r="B1074" s="747"/>
      <c r="C1074" s="747"/>
      <c r="D1074" s="747"/>
      <c r="E1074" s="747"/>
      <c r="F1074" s="747"/>
      <c r="G1074" s="747"/>
      <c r="H1074" s="747"/>
    </row>
    <row r="1075" spans="1:8">
      <c r="A1075" s="329"/>
      <c r="B1075" s="747"/>
      <c r="C1075" s="747"/>
      <c r="D1075" s="747"/>
      <c r="E1075" s="747"/>
      <c r="F1075" s="747"/>
      <c r="G1075" s="747"/>
      <c r="H1075" s="747"/>
    </row>
    <row r="1076" spans="1:8">
      <c r="A1076" s="330"/>
      <c r="B1076" s="748"/>
      <c r="C1076" s="749"/>
      <c r="D1076" s="749"/>
      <c r="E1076" s="749"/>
      <c r="F1076" s="352"/>
      <c r="G1076" s="353"/>
      <c r="H1076" s="332"/>
    </row>
    <row r="1077" spans="1:8">
      <c r="A1077" s="330"/>
      <c r="B1077" s="354"/>
      <c r="C1077" s="331"/>
      <c r="D1077" s="331"/>
      <c r="E1077" s="331"/>
      <c r="F1077" s="331"/>
      <c r="G1077" s="355"/>
      <c r="H1077" s="331"/>
    </row>
    <row r="1078" spans="1:8">
      <c r="A1078" s="330"/>
      <c r="B1078" s="354"/>
      <c r="C1078" s="331"/>
      <c r="D1078" s="331"/>
      <c r="E1078" s="331"/>
      <c r="F1078" s="331"/>
      <c r="G1078" s="355"/>
      <c r="H1078" s="331"/>
    </row>
    <row r="1079" spans="1:8">
      <c r="A1079" s="330"/>
      <c r="B1079" s="737"/>
      <c r="C1079" s="738"/>
      <c r="D1079" s="738"/>
      <c r="E1079" s="738"/>
      <c r="F1079" s="331"/>
      <c r="G1079" s="355"/>
      <c r="H1079" s="331"/>
    </row>
    <row r="1080" spans="1:8">
      <c r="A1080" s="330"/>
      <c r="B1080" s="354"/>
      <c r="C1080" s="331"/>
      <c r="D1080" s="331"/>
      <c r="E1080" s="331"/>
      <c r="F1080" s="331"/>
      <c r="G1080" s="355"/>
      <c r="H1080" s="331"/>
    </row>
    <row r="1081" spans="1:8">
      <c r="A1081" s="330"/>
      <c r="B1081" s="354"/>
      <c r="C1081" s="331"/>
      <c r="D1081" s="331"/>
      <c r="E1081" s="331"/>
      <c r="F1081" s="331"/>
      <c r="G1081" s="355"/>
      <c r="H1081" s="331"/>
    </row>
    <row r="1082" spans="1:8">
      <c r="A1082" s="330"/>
      <c r="B1082" s="354"/>
      <c r="C1082" s="331"/>
      <c r="D1082" s="751" t="s">
        <v>1938</v>
      </c>
      <c r="E1082" s="751"/>
      <c r="F1082" s="331"/>
      <c r="G1082" s="355"/>
      <c r="H1082" s="331"/>
    </row>
    <row r="1083" spans="1:8">
      <c r="A1083" s="330"/>
      <c r="B1083" s="356"/>
      <c r="D1083" s="751"/>
      <c r="E1083" s="751"/>
      <c r="F1083" s="331"/>
      <c r="G1083" s="355"/>
      <c r="H1083" s="331"/>
    </row>
    <row r="1084" spans="1:8">
      <c r="A1084" s="330"/>
      <c r="B1084" s="354"/>
      <c r="C1084" s="331"/>
      <c r="D1084" s="751"/>
      <c r="E1084" s="751"/>
      <c r="F1084" s="331"/>
      <c r="G1084" s="355"/>
      <c r="H1084" s="331"/>
    </row>
    <row r="1085" spans="1:8">
      <c r="A1085" s="330"/>
      <c r="B1085" s="354"/>
      <c r="C1085" s="331"/>
      <c r="D1085" s="751"/>
      <c r="E1085" s="751"/>
      <c r="F1085" s="331"/>
      <c r="G1085" s="355"/>
      <c r="H1085" s="331"/>
    </row>
    <row r="1086" spans="1:8">
      <c r="A1086" s="330"/>
      <c r="B1086" s="354"/>
      <c r="C1086" s="331"/>
      <c r="D1086" s="751"/>
      <c r="E1086" s="751"/>
      <c r="F1086" s="331"/>
      <c r="G1086" s="355"/>
      <c r="H1086" s="331"/>
    </row>
    <row r="1087" spans="1:8">
      <c r="A1087" s="330"/>
      <c r="B1087" s="354"/>
      <c r="C1087" s="331"/>
      <c r="D1087" s="751"/>
      <c r="E1087" s="751"/>
      <c r="F1087" s="331"/>
      <c r="G1087" s="355"/>
      <c r="H1087" s="331"/>
    </row>
    <row r="1088" spans="1:8">
      <c r="A1088" s="330"/>
      <c r="B1088" s="354"/>
      <c r="C1088" s="331"/>
      <c r="D1088" s="751"/>
      <c r="E1088" s="751"/>
      <c r="F1088" s="331"/>
      <c r="G1088" s="355"/>
      <c r="H1088" s="331"/>
    </row>
    <row r="1089" spans="1:8">
      <c r="A1089" s="330"/>
      <c r="B1089" s="354"/>
      <c r="C1089" s="331"/>
      <c r="D1089" s="751"/>
      <c r="E1089" s="751"/>
      <c r="F1089" s="331"/>
      <c r="G1089" s="355"/>
      <c r="H1089" s="331"/>
    </row>
    <row r="1090" spans="1:8">
      <c r="A1090" s="330"/>
      <c r="B1090" s="356"/>
      <c r="D1090" s="331"/>
      <c r="E1090" s="331"/>
      <c r="F1090" s="331"/>
      <c r="G1090" s="355"/>
      <c r="H1090" s="331"/>
    </row>
    <row r="1091" spans="1:8">
      <c r="A1091" s="330"/>
      <c r="B1091" s="354"/>
      <c r="C1091" s="331"/>
      <c r="D1091" s="332"/>
      <c r="E1091" s="332"/>
      <c r="F1091" s="331"/>
      <c r="G1091" s="355"/>
      <c r="H1091" s="331"/>
    </row>
    <row r="1092" spans="1:8">
      <c r="A1092" s="330"/>
      <c r="B1092" s="354"/>
      <c r="C1092" s="331"/>
      <c r="D1092" s="331"/>
      <c r="E1092" s="331"/>
      <c r="F1092" s="331"/>
      <c r="G1092" s="355"/>
      <c r="H1092" s="333"/>
    </row>
    <row r="1093" spans="1:8">
      <c r="A1093" s="330"/>
      <c r="B1093" s="354"/>
      <c r="C1093" s="331"/>
      <c r="D1093" s="331"/>
      <c r="E1093" s="331"/>
      <c r="F1093" s="331"/>
      <c r="G1093" s="355"/>
      <c r="H1093" s="333"/>
    </row>
    <row r="1094" spans="1:8">
      <c r="A1094" s="330"/>
      <c r="B1094" s="354"/>
      <c r="C1094" s="331"/>
      <c r="D1094" s="331"/>
      <c r="E1094" s="331"/>
      <c r="F1094" s="331"/>
      <c r="G1094" s="355"/>
      <c r="H1094" s="333"/>
    </row>
    <row r="1095" spans="1:8">
      <c r="A1095" s="330"/>
      <c r="B1095" s="354"/>
      <c r="C1095" s="331"/>
      <c r="D1095" s="331"/>
      <c r="E1095" s="331"/>
      <c r="F1095" s="331"/>
      <c r="G1095" s="355"/>
      <c r="H1095" s="333"/>
    </row>
    <row r="1096" spans="1:8">
      <c r="A1096" s="330"/>
      <c r="B1096" s="356"/>
      <c r="G1096" s="357"/>
      <c r="H1096" s="333"/>
    </row>
    <row r="1097" spans="1:8">
      <c r="A1097" s="337"/>
      <c r="B1097" s="752"/>
      <c r="C1097" s="753"/>
      <c r="D1097" s="753"/>
      <c r="E1097" s="753"/>
      <c r="F1097" s="358"/>
      <c r="G1097" s="359"/>
      <c r="H1097" s="360"/>
    </row>
    <row r="1098" spans="1:8">
      <c r="A1098" s="330"/>
      <c r="B1098" s="356"/>
      <c r="G1098" s="357"/>
    </row>
    <row r="1099" spans="1:8">
      <c r="A1099" s="330"/>
      <c r="B1099" s="354"/>
      <c r="C1099" s="331"/>
      <c r="D1099" s="331"/>
      <c r="E1099" s="338"/>
      <c r="F1099" s="338"/>
      <c r="G1099" s="361"/>
      <c r="H1099" s="339"/>
    </row>
    <row r="1100" spans="1:8">
      <c r="A1100" s="330"/>
      <c r="B1100" s="730"/>
      <c r="C1100" s="731"/>
      <c r="D1100" s="731"/>
      <c r="E1100" s="731"/>
      <c r="F1100" s="343"/>
      <c r="G1100" s="362"/>
      <c r="H1100" s="743"/>
    </row>
    <row r="1101" spans="1:8">
      <c r="A1101" s="330"/>
      <c r="B1101" s="730"/>
      <c r="C1101" s="731"/>
      <c r="D1101" s="731"/>
      <c r="E1101" s="731"/>
      <c r="F1101" s="343"/>
      <c r="G1101" s="362"/>
      <c r="H1101" s="743"/>
    </row>
    <row r="1102" spans="1:8">
      <c r="A1102" s="330"/>
      <c r="B1102" s="363"/>
      <c r="C1102" s="343"/>
      <c r="D1102" s="343"/>
      <c r="E1102" s="343"/>
      <c r="F1102" s="343"/>
      <c r="G1102" s="362"/>
      <c r="H1102" s="344"/>
    </row>
    <row r="1103" spans="1:8">
      <c r="A1103" s="330"/>
      <c r="B1103" s="364"/>
      <c r="C1103" s="332"/>
      <c r="D1103" s="332"/>
      <c r="E1103" s="332"/>
      <c r="F1103" s="332"/>
      <c r="G1103" s="365"/>
      <c r="H1103" s="332"/>
    </row>
    <row r="1104" spans="1:8">
      <c r="A1104" s="330"/>
      <c r="B1104" s="737"/>
      <c r="C1104" s="738"/>
      <c r="D1104" s="738"/>
      <c r="E1104" s="738"/>
      <c r="F1104" s="331"/>
      <c r="G1104" s="355"/>
      <c r="H1104" s="345"/>
    </row>
    <row r="1105" spans="1:8">
      <c r="A1105" s="330"/>
      <c r="B1105" s="737"/>
      <c r="C1105" s="738"/>
      <c r="D1105" s="738"/>
      <c r="E1105" s="738"/>
      <c r="F1105" s="331"/>
      <c r="G1105" s="355"/>
      <c r="H1105" s="345"/>
    </row>
    <row r="1106" spans="1:8">
      <c r="A1106" s="330"/>
      <c r="B1106" s="354" t="s">
        <v>775</v>
      </c>
      <c r="C1106" s="331"/>
      <c r="D1106" s="331"/>
      <c r="E1106" s="331"/>
      <c r="F1106" s="331"/>
      <c r="G1106" s="355"/>
      <c r="H1106" s="345"/>
    </row>
    <row r="1107" spans="1:8">
      <c r="A1107" s="330"/>
      <c r="B1107" s="737"/>
      <c r="C1107" s="738"/>
      <c r="D1107" s="738"/>
      <c r="E1107" s="738"/>
      <c r="F1107" s="331"/>
      <c r="G1107" s="355"/>
      <c r="H1107" s="345"/>
    </row>
    <row r="1108" spans="1:8" ht="27.75">
      <c r="A1108" s="330"/>
      <c r="B1108" s="373"/>
      <c r="C1108" s="341"/>
      <c r="D1108" s="739" t="s">
        <v>762</v>
      </c>
      <c r="E1108" s="739"/>
      <c r="F1108" s="330"/>
      <c r="G1108" s="366"/>
      <c r="H1108" s="339"/>
    </row>
    <row r="1109" spans="1:8">
      <c r="A1109" s="330"/>
      <c r="B1109" s="356"/>
      <c r="G1109" s="357"/>
    </row>
    <row r="1110" spans="1:8">
      <c r="A1110" s="330"/>
      <c r="B1110" s="373"/>
      <c r="C1110" s="341"/>
      <c r="D1110" s="733"/>
      <c r="E1110" s="733"/>
      <c r="F1110" s="332"/>
      <c r="G1110" s="365"/>
      <c r="H1110" s="339"/>
    </row>
    <row r="1111" spans="1:8">
      <c r="A1111" s="330"/>
      <c r="B1111" s="356"/>
      <c r="D1111" s="733" t="s">
        <v>801</v>
      </c>
      <c r="E1111" s="733"/>
      <c r="G1111" s="357"/>
    </row>
    <row r="1112" spans="1:8">
      <c r="A1112" s="330"/>
      <c r="B1112" s="730"/>
      <c r="C1112" s="731"/>
      <c r="D1112" s="731"/>
      <c r="E1112" s="338"/>
      <c r="F1112" s="338"/>
      <c r="G1112" s="361"/>
      <c r="H1112" s="331"/>
    </row>
    <row r="1113" spans="1:8">
      <c r="A1113" s="330"/>
      <c r="B1113" s="730"/>
      <c r="C1113" s="731"/>
      <c r="D1113" s="731"/>
      <c r="E1113" s="338"/>
      <c r="F1113" s="338"/>
      <c r="G1113" s="361"/>
      <c r="H1113" s="331"/>
    </row>
    <row r="1114" spans="1:8">
      <c r="A1114" s="330"/>
      <c r="B1114" s="356"/>
      <c r="D1114" s="732" t="s">
        <v>806</v>
      </c>
      <c r="E1114" s="732"/>
      <c r="F1114" s="338"/>
      <c r="G1114" s="361"/>
    </row>
    <row r="1115" spans="1:8">
      <c r="A1115" s="330"/>
      <c r="B1115" s="354"/>
      <c r="C1115" s="331"/>
      <c r="D1115" s="331"/>
      <c r="E1115" s="338"/>
      <c r="F1115" s="338"/>
      <c r="G1115" s="361"/>
      <c r="H1115" s="331"/>
    </row>
    <row r="1116" spans="1:8">
      <c r="A1116" s="330"/>
      <c r="B1116" s="354"/>
      <c r="C1116" s="331"/>
      <c r="D1116" s="733" t="s">
        <v>802</v>
      </c>
      <c r="E1116" s="733"/>
      <c r="F1116" s="338"/>
      <c r="G1116" s="361"/>
      <c r="H1116" s="331"/>
    </row>
    <row r="1117" spans="1:8">
      <c r="A1117" s="330"/>
      <c r="B1117" s="354"/>
      <c r="C1117" s="331"/>
      <c r="D1117" s="734" t="s">
        <v>807</v>
      </c>
      <c r="E1117" s="734"/>
      <c r="F1117" s="338"/>
      <c r="G1117" s="361"/>
      <c r="H1117" s="331"/>
    </row>
    <row r="1118" spans="1:8">
      <c r="A1118" s="330"/>
      <c r="B1118" s="735"/>
      <c r="C1118" s="736"/>
      <c r="D1118" s="736"/>
      <c r="E1118" s="338"/>
      <c r="F1118" s="338"/>
      <c r="G1118" s="361"/>
    </row>
    <row r="1119" spans="1:8">
      <c r="A1119" s="330"/>
      <c r="B1119" s="735"/>
      <c r="C1119" s="736"/>
      <c r="D1119" s="736"/>
      <c r="E1119" s="338"/>
      <c r="F1119" s="338"/>
      <c r="G1119" s="361"/>
    </row>
    <row r="1120" spans="1:8">
      <c r="A1120" s="330"/>
      <c r="B1120" s="354"/>
      <c r="C1120" s="331"/>
      <c r="E1120" s="338"/>
      <c r="F1120" s="338"/>
      <c r="G1120" s="361"/>
    </row>
    <row r="1121" spans="1:8">
      <c r="A1121" s="330"/>
      <c r="B1121" s="737"/>
      <c r="C1121" s="738"/>
      <c r="D1121" s="738"/>
      <c r="E1121" s="338"/>
      <c r="F1121" s="338"/>
      <c r="G1121" s="361"/>
      <c r="H1121" s="331"/>
    </row>
    <row r="1122" spans="1:8">
      <c r="A1122" s="330"/>
      <c r="B1122" s="356"/>
      <c r="E1122" s="338"/>
      <c r="F1122" s="338"/>
      <c r="G1122" s="361"/>
    </row>
    <row r="1123" spans="1:8">
      <c r="A1123" s="330"/>
      <c r="B1123" s="356"/>
      <c r="E1123" s="338"/>
      <c r="F1123" s="338"/>
      <c r="G1123" s="361"/>
    </row>
    <row r="1124" spans="1:8">
      <c r="A1124" s="330"/>
      <c r="B1124" s="356"/>
      <c r="E1124" s="338"/>
      <c r="F1124" s="338"/>
      <c r="G1124" s="361"/>
      <c r="H1124" s="350"/>
    </row>
    <row r="1125" spans="1:8">
      <c r="A1125" s="330"/>
      <c r="B1125" s="356"/>
      <c r="E1125" s="338"/>
      <c r="F1125" s="338"/>
      <c r="G1125" s="361"/>
    </row>
    <row r="1126" spans="1:8">
      <c r="A1126" s="330"/>
      <c r="B1126" s="744"/>
      <c r="C1126" s="745"/>
      <c r="D1126" s="746"/>
      <c r="E1126" s="338"/>
      <c r="F1126" s="338"/>
      <c r="G1126" s="361"/>
      <c r="H1126" s="331"/>
    </row>
    <row r="1127" spans="1:8">
      <c r="A1127" s="330"/>
      <c r="B1127" s="356"/>
      <c r="D1127" s="357"/>
      <c r="E1127" s="338"/>
      <c r="F1127" s="338"/>
      <c r="G1127" s="361"/>
    </row>
    <row r="1128" spans="1:8">
      <c r="A1128" s="330"/>
      <c r="B1128" s="356"/>
      <c r="D1128" s="367" t="s">
        <v>797</v>
      </c>
      <c r="E1128" s="338"/>
      <c r="F1128" s="338"/>
      <c r="G1128" s="361"/>
    </row>
    <row r="1129" spans="1:8">
      <c r="A1129" s="330"/>
      <c r="B1129" s="356"/>
      <c r="D1129" s="357" t="s">
        <v>798</v>
      </c>
      <c r="E1129" s="338"/>
      <c r="F1129" s="338"/>
      <c r="G1129" s="361"/>
      <c r="H1129" s="351"/>
    </row>
    <row r="1130" spans="1:8">
      <c r="A1130" s="330"/>
      <c r="B1130" s="354"/>
      <c r="C1130" s="331"/>
      <c r="D1130" s="355" t="s">
        <v>799</v>
      </c>
      <c r="E1130" s="338"/>
      <c r="F1130" s="338"/>
      <c r="G1130" s="361"/>
      <c r="H1130" s="331"/>
    </row>
    <row r="1131" spans="1:8">
      <c r="A1131" s="330"/>
      <c r="B1131" s="354"/>
      <c r="C1131" s="331"/>
      <c r="D1131" s="355" t="s">
        <v>800</v>
      </c>
      <c r="E1131" s="338"/>
      <c r="F1131" s="338"/>
      <c r="G1131" s="361"/>
      <c r="H1131" s="331"/>
    </row>
    <row r="1132" spans="1:8">
      <c r="A1132" s="330"/>
      <c r="B1132" s="354"/>
      <c r="C1132" s="331"/>
      <c r="D1132" s="355"/>
      <c r="E1132" s="338"/>
      <c r="F1132" s="338"/>
      <c r="G1132" s="361"/>
      <c r="H1132" s="331"/>
    </row>
    <row r="1133" spans="1:8">
      <c r="A1133" s="330"/>
      <c r="B1133" s="354"/>
      <c r="C1133" s="331"/>
      <c r="D1133" s="355"/>
      <c r="E1133" s="338"/>
      <c r="F1133" s="338"/>
      <c r="G1133" s="361"/>
      <c r="H1133" s="331"/>
    </row>
    <row r="1134" spans="1:8">
      <c r="A1134" s="330"/>
      <c r="B1134" s="368"/>
      <c r="C1134" s="369"/>
      <c r="D1134" s="370"/>
      <c r="E1134" s="371"/>
      <c r="F1134" s="371"/>
      <c r="G1134" s="372"/>
      <c r="H1134" s="331"/>
    </row>
    <row r="1135" spans="1:8">
      <c r="A1135" s="330"/>
      <c r="B1135" s="736"/>
      <c r="C1135" s="736"/>
      <c r="D1135" s="736"/>
      <c r="E1135" s="338"/>
      <c r="F1135" s="338"/>
      <c r="G1135" s="338"/>
      <c r="H1135" s="345"/>
    </row>
    <row r="1136" spans="1:8">
      <c r="A1136" s="330"/>
      <c r="B1136" s="736"/>
      <c r="C1136" s="736"/>
      <c r="D1136" s="736"/>
      <c r="E1136" s="338"/>
      <c r="F1136" s="338"/>
      <c r="G1136" s="338"/>
    </row>
    <row r="1138" spans="1:8">
      <c r="A1138" s="328"/>
      <c r="B1138" s="747"/>
      <c r="C1138" s="747"/>
      <c r="D1138" s="747"/>
      <c r="E1138" s="747"/>
      <c r="F1138" s="747"/>
      <c r="G1138" s="747"/>
      <c r="H1138" s="747"/>
    </row>
    <row r="1139" spans="1:8">
      <c r="A1139" s="329"/>
      <c r="B1139" s="747"/>
      <c r="C1139" s="747"/>
      <c r="D1139" s="747"/>
      <c r="E1139" s="747"/>
      <c r="F1139" s="747"/>
      <c r="G1139" s="747"/>
      <c r="H1139" s="747"/>
    </row>
    <row r="1140" spans="1:8">
      <c r="A1140" s="330"/>
      <c r="B1140" s="748"/>
      <c r="C1140" s="749"/>
      <c r="D1140" s="749"/>
      <c r="E1140" s="749"/>
      <c r="F1140" s="352"/>
      <c r="G1140" s="353"/>
      <c r="H1140" s="332"/>
    </row>
    <row r="1141" spans="1:8">
      <c r="A1141" s="330"/>
      <c r="B1141" s="354"/>
      <c r="C1141" s="331"/>
      <c r="D1141" s="331"/>
      <c r="E1141" s="331"/>
      <c r="F1141" s="331"/>
      <c r="G1141" s="355"/>
      <c r="H1141" s="331"/>
    </row>
    <row r="1142" spans="1:8">
      <c r="A1142" s="330"/>
      <c r="B1142" s="354"/>
      <c r="C1142" s="331"/>
      <c r="D1142" s="331"/>
      <c r="E1142" s="331"/>
      <c r="F1142" s="331"/>
      <c r="G1142" s="355"/>
      <c r="H1142" s="331"/>
    </row>
    <row r="1143" spans="1:8">
      <c r="A1143" s="330"/>
      <c r="B1143" s="737"/>
      <c r="C1143" s="738"/>
      <c r="D1143" s="738"/>
      <c r="E1143" s="738"/>
      <c r="F1143" s="331"/>
      <c r="G1143" s="355"/>
      <c r="H1143" s="331"/>
    </row>
    <row r="1144" spans="1:8">
      <c r="A1144" s="330"/>
      <c r="B1144" s="354"/>
      <c r="C1144" s="331"/>
      <c r="D1144" s="331"/>
      <c r="E1144" s="331"/>
      <c r="F1144" s="331"/>
      <c r="G1144" s="355"/>
      <c r="H1144" s="331"/>
    </row>
    <row r="1145" spans="1:8">
      <c r="A1145" s="330"/>
      <c r="B1145" s="354"/>
      <c r="C1145" s="331"/>
      <c r="D1145" s="331"/>
      <c r="E1145" s="331"/>
      <c r="F1145" s="331"/>
      <c r="G1145" s="355"/>
      <c r="H1145" s="331"/>
    </row>
    <row r="1146" spans="1:8">
      <c r="A1146" s="330"/>
      <c r="B1146" s="354"/>
      <c r="C1146" s="331"/>
      <c r="D1146" s="751" t="s">
        <v>1939</v>
      </c>
      <c r="E1146" s="751"/>
      <c r="F1146" s="331"/>
      <c r="G1146" s="355"/>
      <c r="H1146" s="331"/>
    </row>
    <row r="1147" spans="1:8">
      <c r="A1147" s="330"/>
      <c r="B1147" s="356"/>
      <c r="D1147" s="751"/>
      <c r="E1147" s="751"/>
      <c r="F1147" s="331"/>
      <c r="G1147" s="355"/>
      <c r="H1147" s="331"/>
    </row>
    <row r="1148" spans="1:8">
      <c r="A1148" s="330"/>
      <c r="B1148" s="354"/>
      <c r="C1148" s="331"/>
      <c r="D1148" s="751"/>
      <c r="E1148" s="751"/>
      <c r="F1148" s="331"/>
      <c r="G1148" s="355"/>
      <c r="H1148" s="331"/>
    </row>
    <row r="1149" spans="1:8">
      <c r="A1149" s="330"/>
      <c r="B1149" s="354"/>
      <c r="C1149" s="331"/>
      <c r="D1149" s="751"/>
      <c r="E1149" s="751"/>
      <c r="F1149" s="331"/>
      <c r="G1149" s="355"/>
      <c r="H1149" s="331"/>
    </row>
    <row r="1150" spans="1:8">
      <c r="A1150" s="330"/>
      <c r="B1150" s="354"/>
      <c r="C1150" s="331"/>
      <c r="D1150" s="751"/>
      <c r="E1150" s="751"/>
      <c r="F1150" s="331"/>
      <c r="G1150" s="355"/>
      <c r="H1150" s="331"/>
    </row>
    <row r="1151" spans="1:8">
      <c r="A1151" s="330"/>
      <c r="B1151" s="354"/>
      <c r="C1151" s="331"/>
      <c r="D1151" s="751"/>
      <c r="E1151" s="751"/>
      <c r="F1151" s="331"/>
      <c r="G1151" s="355"/>
      <c r="H1151" s="331"/>
    </row>
    <row r="1152" spans="1:8">
      <c r="A1152" s="330"/>
      <c r="B1152" s="354"/>
      <c r="C1152" s="331"/>
      <c r="D1152" s="751"/>
      <c r="E1152" s="751"/>
      <c r="F1152" s="331"/>
      <c r="G1152" s="355"/>
      <c r="H1152" s="331"/>
    </row>
    <row r="1153" spans="1:8">
      <c r="A1153" s="330"/>
      <c r="B1153" s="354"/>
      <c r="C1153" s="331"/>
      <c r="D1153" s="751"/>
      <c r="E1153" s="751"/>
      <c r="F1153" s="331"/>
      <c r="G1153" s="355"/>
      <c r="H1153" s="331"/>
    </row>
    <row r="1154" spans="1:8">
      <c r="A1154" s="330"/>
      <c r="B1154" s="356"/>
      <c r="D1154" s="331"/>
      <c r="E1154" s="331"/>
      <c r="F1154" s="331"/>
      <c r="G1154" s="355"/>
      <c r="H1154" s="331"/>
    </row>
    <row r="1155" spans="1:8">
      <c r="A1155" s="330"/>
      <c r="B1155" s="354"/>
      <c r="C1155" s="331"/>
      <c r="D1155" s="332"/>
      <c r="E1155" s="332"/>
      <c r="F1155" s="331"/>
      <c r="G1155" s="355"/>
      <c r="H1155" s="331"/>
    </row>
    <row r="1156" spans="1:8">
      <c r="A1156" s="330"/>
      <c r="B1156" s="354"/>
      <c r="C1156" s="331"/>
      <c r="D1156" s="331"/>
      <c r="E1156" s="331"/>
      <c r="F1156" s="331"/>
      <c r="G1156" s="355"/>
      <c r="H1156" s="333"/>
    </row>
    <row r="1157" spans="1:8">
      <c r="A1157" s="330"/>
      <c r="B1157" s="354"/>
      <c r="C1157" s="331"/>
      <c r="D1157" s="331"/>
      <c r="E1157" s="331"/>
      <c r="F1157" s="331"/>
      <c r="G1157" s="355"/>
      <c r="H1157" s="333"/>
    </row>
    <row r="1158" spans="1:8">
      <c r="A1158" s="330"/>
      <c r="B1158" s="354"/>
      <c r="C1158" s="331"/>
      <c r="D1158" s="331"/>
      <c r="E1158" s="331"/>
      <c r="F1158" s="331"/>
      <c r="G1158" s="355"/>
      <c r="H1158" s="333"/>
    </row>
    <row r="1159" spans="1:8">
      <c r="A1159" s="330"/>
      <c r="B1159" s="354"/>
      <c r="C1159" s="331"/>
      <c r="D1159" s="331"/>
      <c r="E1159" s="331"/>
      <c r="F1159" s="331"/>
      <c r="G1159" s="355"/>
      <c r="H1159" s="333"/>
    </row>
    <row r="1160" spans="1:8">
      <c r="A1160" s="330"/>
      <c r="B1160" s="356"/>
      <c r="G1160" s="357"/>
      <c r="H1160" s="333"/>
    </row>
    <row r="1161" spans="1:8">
      <c r="A1161" s="337"/>
      <c r="B1161" s="752"/>
      <c r="C1161" s="753"/>
      <c r="D1161" s="753"/>
      <c r="E1161" s="753"/>
      <c r="F1161" s="358"/>
      <c r="G1161" s="359"/>
      <c r="H1161" s="360"/>
    </row>
    <row r="1162" spans="1:8">
      <c r="A1162" s="330"/>
      <c r="B1162" s="356"/>
      <c r="G1162" s="357"/>
    </row>
    <row r="1163" spans="1:8">
      <c r="A1163" s="330"/>
      <c r="B1163" s="354"/>
      <c r="C1163" s="331"/>
      <c r="D1163" s="331"/>
      <c r="E1163" s="338"/>
      <c r="F1163" s="338"/>
      <c r="G1163" s="361"/>
      <c r="H1163" s="339"/>
    </row>
    <row r="1164" spans="1:8">
      <c r="A1164" s="330"/>
      <c r="B1164" s="730"/>
      <c r="C1164" s="731"/>
      <c r="D1164" s="731"/>
      <c r="E1164" s="731"/>
      <c r="F1164" s="343"/>
      <c r="G1164" s="362"/>
      <c r="H1164" s="743"/>
    </row>
    <row r="1165" spans="1:8">
      <c r="A1165" s="330"/>
      <c r="B1165" s="730"/>
      <c r="C1165" s="731"/>
      <c r="D1165" s="731"/>
      <c r="E1165" s="731"/>
      <c r="F1165" s="343"/>
      <c r="G1165" s="362"/>
      <c r="H1165" s="743"/>
    </row>
    <row r="1166" spans="1:8">
      <c r="A1166" s="330"/>
      <c r="B1166" s="363"/>
      <c r="C1166" s="343"/>
      <c r="D1166" s="343"/>
      <c r="E1166" s="343"/>
      <c r="F1166" s="343"/>
      <c r="G1166" s="362"/>
      <c r="H1166" s="344"/>
    </row>
    <row r="1167" spans="1:8">
      <c r="A1167" s="330"/>
      <c r="B1167" s="364"/>
      <c r="C1167" s="332"/>
      <c r="D1167" s="332"/>
      <c r="E1167" s="332"/>
      <c r="F1167" s="332"/>
      <c r="G1167" s="365"/>
      <c r="H1167" s="332"/>
    </row>
    <row r="1168" spans="1:8">
      <c r="A1168" s="330"/>
      <c r="B1168" s="737"/>
      <c r="C1168" s="738"/>
      <c r="D1168" s="738"/>
      <c r="E1168" s="738"/>
      <c r="F1168" s="331"/>
      <c r="G1168" s="355"/>
      <c r="H1168" s="345"/>
    </row>
    <row r="1169" spans="1:8">
      <c r="A1169" s="330"/>
      <c r="B1169" s="737"/>
      <c r="C1169" s="738"/>
      <c r="D1169" s="738"/>
      <c r="E1169" s="738"/>
      <c r="F1169" s="331"/>
      <c r="G1169" s="355"/>
      <c r="H1169" s="345"/>
    </row>
    <row r="1170" spans="1:8">
      <c r="A1170" s="330"/>
      <c r="B1170" s="354" t="s">
        <v>775</v>
      </c>
      <c r="C1170" s="331"/>
      <c r="D1170" s="331"/>
      <c r="E1170" s="331"/>
      <c r="F1170" s="331"/>
      <c r="G1170" s="355"/>
      <c r="H1170" s="345"/>
    </row>
    <row r="1171" spans="1:8">
      <c r="A1171" s="330"/>
      <c r="B1171" s="737"/>
      <c r="C1171" s="738"/>
      <c r="D1171" s="738"/>
      <c r="E1171" s="738"/>
      <c r="F1171" s="331"/>
      <c r="G1171" s="355"/>
      <c r="H1171" s="345"/>
    </row>
    <row r="1172" spans="1:8" ht="27.75">
      <c r="A1172" s="330"/>
      <c r="B1172" s="373"/>
      <c r="C1172" s="341"/>
      <c r="D1172" s="739" t="s">
        <v>762</v>
      </c>
      <c r="E1172" s="739"/>
      <c r="F1172" s="330"/>
      <c r="G1172" s="366"/>
      <c r="H1172" s="339"/>
    </row>
    <row r="1173" spans="1:8">
      <c r="A1173" s="330"/>
      <c r="B1173" s="356"/>
      <c r="G1173" s="357"/>
    </row>
    <row r="1174" spans="1:8">
      <c r="A1174" s="330"/>
      <c r="B1174" s="373"/>
      <c r="C1174" s="341"/>
      <c r="D1174" s="733"/>
      <c r="E1174" s="733"/>
      <c r="F1174" s="332"/>
      <c r="G1174" s="365"/>
      <c r="H1174" s="339"/>
    </row>
    <row r="1175" spans="1:8">
      <c r="A1175" s="330"/>
      <c r="B1175" s="356"/>
      <c r="D1175" s="733" t="s">
        <v>801</v>
      </c>
      <c r="E1175" s="733"/>
      <c r="G1175" s="357"/>
    </row>
    <row r="1176" spans="1:8">
      <c r="A1176" s="330"/>
      <c r="B1176" s="730"/>
      <c r="C1176" s="731"/>
      <c r="D1176" s="731"/>
      <c r="E1176" s="338"/>
      <c r="F1176" s="338"/>
      <c r="G1176" s="361"/>
      <c r="H1176" s="331"/>
    </row>
    <row r="1177" spans="1:8">
      <c r="A1177" s="330"/>
      <c r="B1177" s="730"/>
      <c r="C1177" s="731"/>
      <c r="D1177" s="731"/>
      <c r="E1177" s="338"/>
      <c r="F1177" s="338"/>
      <c r="G1177" s="361"/>
      <c r="H1177" s="331"/>
    </row>
    <row r="1178" spans="1:8">
      <c r="A1178" s="330"/>
      <c r="B1178" s="356"/>
      <c r="D1178" s="732" t="s">
        <v>806</v>
      </c>
      <c r="E1178" s="732"/>
      <c r="F1178" s="338"/>
      <c r="G1178" s="361"/>
    </row>
    <row r="1179" spans="1:8">
      <c r="A1179" s="330"/>
      <c r="B1179" s="354"/>
      <c r="C1179" s="331"/>
      <c r="D1179" s="331"/>
      <c r="E1179" s="338"/>
      <c r="F1179" s="338"/>
      <c r="G1179" s="361"/>
      <c r="H1179" s="331"/>
    </row>
    <row r="1180" spans="1:8">
      <c r="A1180" s="330"/>
      <c r="B1180" s="354"/>
      <c r="C1180" s="331"/>
      <c r="D1180" s="733" t="s">
        <v>802</v>
      </c>
      <c r="E1180" s="733"/>
      <c r="F1180" s="338"/>
      <c r="G1180" s="361"/>
      <c r="H1180" s="331"/>
    </row>
    <row r="1181" spans="1:8">
      <c r="A1181" s="330"/>
      <c r="B1181" s="354"/>
      <c r="C1181" s="331"/>
      <c r="D1181" s="734" t="s">
        <v>807</v>
      </c>
      <c r="E1181" s="734"/>
      <c r="F1181" s="338"/>
      <c r="G1181" s="361"/>
      <c r="H1181" s="331"/>
    </row>
    <row r="1182" spans="1:8">
      <c r="A1182" s="330"/>
      <c r="B1182" s="735"/>
      <c r="C1182" s="736"/>
      <c r="D1182" s="736"/>
      <c r="E1182" s="338"/>
      <c r="F1182" s="338"/>
      <c r="G1182" s="361"/>
    </row>
    <row r="1183" spans="1:8">
      <c r="A1183" s="330"/>
      <c r="B1183" s="735"/>
      <c r="C1183" s="736"/>
      <c r="D1183" s="736"/>
      <c r="E1183" s="338"/>
      <c r="F1183" s="338"/>
      <c r="G1183" s="361"/>
    </row>
    <row r="1184" spans="1:8">
      <c r="A1184" s="330"/>
      <c r="B1184" s="354"/>
      <c r="C1184" s="331"/>
      <c r="E1184" s="338"/>
      <c r="F1184" s="338"/>
      <c r="G1184" s="361"/>
    </row>
    <row r="1185" spans="1:8">
      <c r="A1185" s="330"/>
      <c r="B1185" s="737"/>
      <c r="C1185" s="738"/>
      <c r="D1185" s="738"/>
      <c r="E1185" s="338"/>
      <c r="F1185" s="338"/>
      <c r="G1185" s="361"/>
      <c r="H1185" s="331"/>
    </row>
    <row r="1186" spans="1:8">
      <c r="A1186" s="330"/>
      <c r="B1186" s="356"/>
      <c r="E1186" s="338"/>
      <c r="F1186" s="338"/>
      <c r="G1186" s="361"/>
    </row>
    <row r="1187" spans="1:8">
      <c r="A1187" s="330"/>
      <c r="B1187" s="356"/>
      <c r="E1187" s="338"/>
      <c r="F1187" s="338"/>
      <c r="G1187" s="361"/>
    </row>
    <row r="1188" spans="1:8">
      <c r="A1188" s="330"/>
      <c r="B1188" s="356"/>
      <c r="E1188" s="338"/>
      <c r="F1188" s="338"/>
      <c r="G1188" s="361"/>
      <c r="H1188" s="350"/>
    </row>
    <row r="1189" spans="1:8">
      <c r="A1189" s="330"/>
      <c r="B1189" s="356"/>
      <c r="E1189" s="338"/>
      <c r="F1189" s="338"/>
      <c r="G1189" s="361"/>
    </row>
    <row r="1190" spans="1:8">
      <c r="A1190" s="330"/>
      <c r="B1190" s="744"/>
      <c r="C1190" s="745"/>
      <c r="D1190" s="746"/>
      <c r="E1190" s="338"/>
      <c r="F1190" s="338"/>
      <c r="G1190" s="361"/>
      <c r="H1190" s="331"/>
    </row>
    <row r="1191" spans="1:8">
      <c r="A1191" s="330"/>
      <c r="B1191" s="356"/>
      <c r="D1191" s="357"/>
      <c r="E1191" s="338"/>
      <c r="F1191" s="338"/>
      <c r="G1191" s="361"/>
    </row>
    <row r="1192" spans="1:8">
      <c r="A1192" s="330"/>
      <c r="B1192" s="356"/>
      <c r="D1192" s="367" t="s">
        <v>797</v>
      </c>
      <c r="E1192" s="338"/>
      <c r="F1192" s="338"/>
      <c r="G1192" s="361"/>
    </row>
    <row r="1193" spans="1:8">
      <c r="A1193" s="330"/>
      <c r="B1193" s="356"/>
      <c r="D1193" s="357" t="s">
        <v>798</v>
      </c>
      <c r="E1193" s="338"/>
      <c r="F1193" s="338"/>
      <c r="G1193" s="361"/>
      <c r="H1193" s="351"/>
    </row>
    <row r="1194" spans="1:8">
      <c r="A1194" s="330"/>
      <c r="B1194" s="354"/>
      <c r="C1194" s="331"/>
      <c r="D1194" s="355" t="s">
        <v>799</v>
      </c>
      <c r="E1194" s="338"/>
      <c r="F1194" s="338"/>
      <c r="G1194" s="361"/>
      <c r="H1194" s="331"/>
    </row>
    <row r="1195" spans="1:8">
      <c r="A1195" s="330"/>
      <c r="B1195" s="354"/>
      <c r="C1195" s="331"/>
      <c r="D1195" s="355" t="s">
        <v>800</v>
      </c>
      <c r="E1195" s="338"/>
      <c r="F1195" s="338"/>
      <c r="G1195" s="361"/>
      <c r="H1195" s="331"/>
    </row>
    <row r="1196" spans="1:8">
      <c r="A1196" s="330"/>
      <c r="B1196" s="354"/>
      <c r="C1196" s="331"/>
      <c r="D1196" s="355"/>
      <c r="E1196" s="338"/>
      <c r="F1196" s="338"/>
      <c r="G1196" s="361"/>
      <c r="H1196" s="331"/>
    </row>
    <row r="1197" spans="1:8">
      <c r="A1197" s="330"/>
      <c r="B1197" s="354"/>
      <c r="C1197" s="331"/>
      <c r="D1197" s="355"/>
      <c r="E1197" s="338"/>
      <c r="F1197" s="338"/>
      <c r="G1197" s="361"/>
      <c r="H1197" s="331"/>
    </row>
    <row r="1198" spans="1:8">
      <c r="A1198" s="330"/>
      <c r="B1198" s="368"/>
      <c r="C1198" s="369"/>
      <c r="D1198" s="370"/>
      <c r="E1198" s="371"/>
      <c r="F1198" s="371"/>
      <c r="G1198" s="372"/>
      <c r="H1198" s="331"/>
    </row>
    <row r="1199" spans="1:8">
      <c r="A1199" s="330"/>
      <c r="B1199" s="736"/>
      <c r="C1199" s="736"/>
      <c r="D1199" s="736"/>
      <c r="E1199" s="338"/>
      <c r="F1199" s="338"/>
      <c r="G1199" s="338"/>
      <c r="H1199" s="345"/>
    </row>
    <row r="1200" spans="1:8">
      <c r="A1200" s="330"/>
      <c r="B1200" s="736"/>
      <c r="C1200" s="736"/>
      <c r="D1200" s="736"/>
      <c r="E1200" s="338"/>
      <c r="F1200" s="338"/>
      <c r="G1200" s="338"/>
    </row>
    <row r="1201" spans="1:8">
      <c r="A1201" s="328"/>
      <c r="B1201" s="747"/>
      <c r="C1201" s="747"/>
      <c r="D1201" s="747"/>
      <c r="E1201" s="747"/>
      <c r="F1201" s="747"/>
      <c r="G1201" s="747"/>
      <c r="H1201" s="747"/>
    </row>
    <row r="1202" spans="1:8">
      <c r="A1202" s="329"/>
      <c r="B1202" s="747"/>
      <c r="C1202" s="747"/>
      <c r="D1202" s="747"/>
      <c r="E1202" s="747"/>
      <c r="F1202" s="747"/>
      <c r="G1202" s="747"/>
      <c r="H1202" s="747"/>
    </row>
    <row r="1203" spans="1:8">
      <c r="A1203" s="330"/>
      <c r="B1203" s="748"/>
      <c r="C1203" s="749"/>
      <c r="D1203" s="749"/>
      <c r="E1203" s="749"/>
      <c r="F1203" s="352"/>
      <c r="G1203" s="353"/>
      <c r="H1203" s="332"/>
    </row>
    <row r="1204" spans="1:8">
      <c r="A1204" s="330"/>
      <c r="B1204" s="354"/>
      <c r="C1204" s="331"/>
      <c r="D1204" s="331"/>
      <c r="E1204" s="331"/>
      <c r="F1204" s="331"/>
      <c r="G1204" s="355"/>
      <c r="H1204" s="331"/>
    </row>
    <row r="1205" spans="1:8">
      <c r="A1205" s="330"/>
      <c r="B1205" s="354"/>
      <c r="C1205" s="331"/>
      <c r="D1205" s="331"/>
      <c r="E1205" s="331"/>
      <c r="F1205" s="331"/>
      <c r="G1205" s="355"/>
      <c r="H1205" s="331"/>
    </row>
    <row r="1206" spans="1:8">
      <c r="A1206" s="330"/>
      <c r="B1206" s="737"/>
      <c r="C1206" s="738"/>
      <c r="D1206" s="738"/>
      <c r="E1206" s="738"/>
      <c r="F1206" s="331"/>
      <c r="G1206" s="355"/>
      <c r="H1206" s="331"/>
    </row>
    <row r="1207" spans="1:8">
      <c r="A1207" s="330"/>
      <c r="B1207" s="354"/>
      <c r="C1207" s="331"/>
      <c r="D1207" s="331"/>
      <c r="E1207" s="331"/>
      <c r="F1207" s="331"/>
      <c r="G1207" s="355"/>
      <c r="H1207" s="331"/>
    </row>
    <row r="1208" spans="1:8">
      <c r="A1208" s="330"/>
      <c r="B1208" s="354"/>
      <c r="C1208" s="331"/>
      <c r="D1208" s="331"/>
      <c r="E1208" s="331"/>
      <c r="F1208" s="331"/>
      <c r="G1208" s="355"/>
      <c r="H1208" s="331"/>
    </row>
    <row r="1209" spans="1:8">
      <c r="A1209" s="330"/>
      <c r="B1209" s="354"/>
      <c r="C1209" s="331"/>
      <c r="D1209" s="751" t="s">
        <v>1991</v>
      </c>
      <c r="E1209" s="751"/>
      <c r="F1209" s="331"/>
      <c r="G1209" s="355"/>
      <c r="H1209" s="331"/>
    </row>
    <row r="1210" spans="1:8">
      <c r="A1210" s="330"/>
      <c r="B1210" s="356"/>
      <c r="D1210" s="751"/>
      <c r="E1210" s="751"/>
      <c r="F1210" s="331"/>
      <c r="G1210" s="355"/>
      <c r="H1210" s="331"/>
    </row>
    <row r="1211" spans="1:8">
      <c r="A1211" s="330"/>
      <c r="B1211" s="354"/>
      <c r="C1211" s="331"/>
      <c r="D1211" s="751"/>
      <c r="E1211" s="751"/>
      <c r="F1211" s="331"/>
      <c r="G1211" s="355"/>
      <c r="H1211" s="331"/>
    </row>
    <row r="1212" spans="1:8">
      <c r="A1212" s="330"/>
      <c r="B1212" s="354"/>
      <c r="C1212" s="331"/>
      <c r="D1212" s="751"/>
      <c r="E1212" s="751"/>
      <c r="F1212" s="331"/>
      <c r="G1212" s="355"/>
      <c r="H1212" s="331"/>
    </row>
    <row r="1213" spans="1:8">
      <c r="A1213" s="330"/>
      <c r="B1213" s="354"/>
      <c r="C1213" s="331"/>
      <c r="D1213" s="751"/>
      <c r="E1213" s="751"/>
      <c r="F1213" s="331"/>
      <c r="G1213" s="355"/>
      <c r="H1213" s="331"/>
    </row>
    <row r="1214" spans="1:8">
      <c r="A1214" s="330"/>
      <c r="B1214" s="354"/>
      <c r="C1214" s="331"/>
      <c r="D1214" s="751"/>
      <c r="E1214" s="751"/>
      <c r="F1214" s="331"/>
      <c r="G1214" s="355"/>
      <c r="H1214" s="331"/>
    </row>
    <row r="1215" spans="1:8">
      <c r="A1215" s="330"/>
      <c r="B1215" s="354"/>
      <c r="C1215" s="331"/>
      <c r="D1215" s="751"/>
      <c r="E1215" s="751"/>
      <c r="F1215" s="331"/>
      <c r="G1215" s="355"/>
      <c r="H1215" s="331"/>
    </row>
    <row r="1216" spans="1:8">
      <c r="A1216" s="330"/>
      <c r="B1216" s="354"/>
      <c r="C1216" s="331"/>
      <c r="D1216" s="751"/>
      <c r="E1216" s="751"/>
      <c r="F1216" s="331"/>
      <c r="G1216" s="355"/>
      <c r="H1216" s="331"/>
    </row>
    <row r="1217" spans="1:8">
      <c r="A1217" s="330"/>
      <c r="B1217" s="356"/>
      <c r="D1217" s="331"/>
      <c r="E1217" s="331"/>
      <c r="F1217" s="331"/>
      <c r="G1217" s="355"/>
      <c r="H1217" s="331"/>
    </row>
    <row r="1218" spans="1:8">
      <c r="A1218" s="330"/>
      <c r="B1218" s="354"/>
      <c r="C1218" s="331"/>
      <c r="D1218" s="332"/>
      <c r="E1218" s="332"/>
      <c r="F1218" s="331"/>
      <c r="G1218" s="355"/>
      <c r="H1218" s="331"/>
    </row>
    <row r="1219" spans="1:8">
      <c r="A1219" s="330"/>
      <c r="B1219" s="354"/>
      <c r="C1219" s="331"/>
      <c r="D1219" s="331"/>
      <c r="E1219" s="331"/>
      <c r="F1219" s="331"/>
      <c r="G1219" s="355"/>
      <c r="H1219" s="333"/>
    </row>
    <row r="1220" spans="1:8">
      <c r="A1220" s="330"/>
      <c r="B1220" s="354"/>
      <c r="C1220" s="331"/>
      <c r="D1220" s="331"/>
      <c r="E1220" s="331"/>
      <c r="F1220" s="331"/>
      <c r="G1220" s="355"/>
      <c r="H1220" s="333"/>
    </row>
    <row r="1221" spans="1:8">
      <c r="A1221" s="330"/>
      <c r="B1221" s="354"/>
      <c r="C1221" s="331"/>
      <c r="D1221" s="331"/>
      <c r="E1221" s="331"/>
      <c r="F1221" s="331"/>
      <c r="G1221" s="355"/>
      <c r="H1221" s="333"/>
    </row>
    <row r="1222" spans="1:8">
      <c r="A1222" s="330"/>
      <c r="B1222" s="354"/>
      <c r="C1222" s="331"/>
      <c r="D1222" s="331"/>
      <c r="E1222" s="331"/>
      <c r="F1222" s="331"/>
      <c r="G1222" s="355"/>
      <c r="H1222" s="333"/>
    </row>
    <row r="1223" spans="1:8">
      <c r="A1223" s="330"/>
      <c r="B1223" s="356"/>
      <c r="G1223" s="357"/>
      <c r="H1223" s="333"/>
    </row>
    <row r="1224" spans="1:8">
      <c r="A1224" s="337"/>
      <c r="B1224" s="752"/>
      <c r="C1224" s="753"/>
      <c r="D1224" s="753"/>
      <c r="E1224" s="753"/>
      <c r="F1224" s="358"/>
      <c r="G1224" s="359"/>
      <c r="H1224" s="360"/>
    </row>
    <row r="1225" spans="1:8">
      <c r="A1225" s="330"/>
      <c r="B1225" s="356"/>
      <c r="G1225" s="357"/>
    </row>
    <row r="1226" spans="1:8">
      <c r="A1226" s="330"/>
      <c r="B1226" s="354"/>
      <c r="C1226" s="331"/>
      <c r="D1226" s="331"/>
      <c r="E1226" s="338"/>
      <c r="F1226" s="338"/>
      <c r="G1226" s="361"/>
      <c r="H1226" s="339"/>
    </row>
    <row r="1227" spans="1:8">
      <c r="A1227" s="330"/>
      <c r="B1227" s="730"/>
      <c r="C1227" s="731"/>
      <c r="D1227" s="731"/>
      <c r="E1227" s="731"/>
      <c r="F1227" s="343"/>
      <c r="G1227" s="362"/>
      <c r="H1227" s="743"/>
    </row>
    <row r="1228" spans="1:8">
      <c r="A1228" s="330"/>
      <c r="B1228" s="730"/>
      <c r="C1228" s="731"/>
      <c r="D1228" s="731"/>
      <c r="E1228" s="731"/>
      <c r="F1228" s="343"/>
      <c r="G1228" s="362"/>
      <c r="H1228" s="743"/>
    </row>
    <row r="1229" spans="1:8">
      <c r="A1229" s="330"/>
      <c r="B1229" s="363"/>
      <c r="C1229" s="343"/>
      <c r="D1229" s="343"/>
      <c r="E1229" s="343"/>
      <c r="F1229" s="343"/>
      <c r="G1229" s="362"/>
      <c r="H1229" s="344"/>
    </row>
    <row r="1230" spans="1:8">
      <c r="A1230" s="330"/>
      <c r="B1230" s="364"/>
      <c r="C1230" s="332"/>
      <c r="D1230" s="332"/>
      <c r="E1230" s="332"/>
      <c r="F1230" s="332"/>
      <c r="G1230" s="365"/>
      <c r="H1230" s="332"/>
    </row>
    <row r="1231" spans="1:8">
      <c r="A1231" s="330"/>
      <c r="B1231" s="737"/>
      <c r="C1231" s="738"/>
      <c r="D1231" s="738"/>
      <c r="E1231" s="738"/>
      <c r="F1231" s="331"/>
      <c r="G1231" s="355"/>
      <c r="H1231" s="345"/>
    </row>
    <row r="1232" spans="1:8">
      <c r="A1232" s="330"/>
      <c r="B1232" s="737"/>
      <c r="C1232" s="738"/>
      <c r="D1232" s="738"/>
      <c r="E1232" s="738"/>
      <c r="F1232" s="331"/>
      <c r="G1232" s="355"/>
      <c r="H1232" s="345"/>
    </row>
    <row r="1233" spans="1:8">
      <c r="A1233" s="330"/>
      <c r="B1233" s="354" t="s">
        <v>775</v>
      </c>
      <c r="C1233" s="331"/>
      <c r="D1233" s="331"/>
      <c r="E1233" s="331"/>
      <c r="F1233" s="331"/>
      <c r="G1233" s="355"/>
      <c r="H1233" s="345"/>
    </row>
    <row r="1234" spans="1:8">
      <c r="A1234" s="330"/>
      <c r="B1234" s="737"/>
      <c r="C1234" s="738"/>
      <c r="D1234" s="738"/>
      <c r="E1234" s="738"/>
      <c r="F1234" s="331"/>
      <c r="G1234" s="355"/>
      <c r="H1234" s="345"/>
    </row>
    <row r="1235" spans="1:8" ht="27.75">
      <c r="A1235" s="330"/>
      <c r="B1235" s="373"/>
      <c r="C1235" s="341"/>
      <c r="D1235" s="739" t="s">
        <v>762</v>
      </c>
      <c r="E1235" s="739"/>
      <c r="F1235" s="330"/>
      <c r="G1235" s="366"/>
      <c r="H1235" s="339"/>
    </row>
    <row r="1236" spans="1:8">
      <c r="A1236" s="330"/>
      <c r="B1236" s="356"/>
      <c r="G1236" s="357"/>
    </row>
    <row r="1237" spans="1:8">
      <c r="A1237" s="330"/>
      <c r="B1237" s="373"/>
      <c r="C1237" s="341"/>
      <c r="D1237" s="733"/>
      <c r="E1237" s="733"/>
      <c r="F1237" s="332"/>
      <c r="G1237" s="365"/>
      <c r="H1237" s="339"/>
    </row>
    <row r="1238" spans="1:8">
      <c r="A1238" s="330"/>
      <c r="B1238" s="356"/>
      <c r="D1238" s="733" t="s">
        <v>801</v>
      </c>
      <c r="E1238" s="733"/>
      <c r="G1238" s="357"/>
    </row>
    <row r="1239" spans="1:8">
      <c r="A1239" s="330"/>
      <c r="B1239" s="730"/>
      <c r="C1239" s="731"/>
      <c r="D1239" s="731"/>
      <c r="E1239" s="338"/>
      <c r="F1239" s="338"/>
      <c r="G1239" s="361"/>
      <c r="H1239" s="331"/>
    </row>
    <row r="1240" spans="1:8">
      <c r="A1240" s="330"/>
      <c r="B1240" s="730"/>
      <c r="C1240" s="731"/>
      <c r="D1240" s="731"/>
      <c r="E1240" s="338"/>
      <c r="F1240" s="338"/>
      <c r="G1240" s="361"/>
      <c r="H1240" s="331"/>
    </row>
    <row r="1241" spans="1:8">
      <c r="A1241" s="330"/>
      <c r="B1241" s="356"/>
      <c r="D1241" s="732" t="s">
        <v>806</v>
      </c>
      <c r="E1241" s="732"/>
      <c r="F1241" s="338"/>
      <c r="G1241" s="361"/>
    </row>
    <row r="1242" spans="1:8">
      <c r="A1242" s="330"/>
      <c r="B1242" s="354"/>
      <c r="C1242" s="331"/>
      <c r="D1242" s="331"/>
      <c r="E1242" s="338"/>
      <c r="F1242" s="338"/>
      <c r="G1242" s="361"/>
      <c r="H1242" s="331"/>
    </row>
    <row r="1243" spans="1:8">
      <c r="A1243" s="330"/>
      <c r="B1243" s="354"/>
      <c r="C1243" s="331"/>
      <c r="D1243" s="733" t="s">
        <v>802</v>
      </c>
      <c r="E1243" s="733"/>
      <c r="F1243" s="338"/>
      <c r="G1243" s="361"/>
      <c r="H1243" s="331"/>
    </row>
    <row r="1244" spans="1:8">
      <c r="A1244" s="330"/>
      <c r="B1244" s="354"/>
      <c r="C1244" s="331"/>
      <c r="D1244" s="734" t="s">
        <v>807</v>
      </c>
      <c r="E1244" s="734"/>
      <c r="F1244" s="338"/>
      <c r="G1244" s="361"/>
      <c r="H1244" s="331"/>
    </row>
    <row r="1245" spans="1:8">
      <c r="A1245" s="330"/>
      <c r="B1245" s="735"/>
      <c r="C1245" s="736"/>
      <c r="D1245" s="736"/>
      <c r="E1245" s="338"/>
      <c r="F1245" s="338"/>
      <c r="G1245" s="361"/>
    </row>
    <row r="1246" spans="1:8">
      <c r="A1246" s="330"/>
      <c r="B1246" s="735"/>
      <c r="C1246" s="736"/>
      <c r="D1246" s="736"/>
      <c r="E1246" s="338"/>
      <c r="F1246" s="338"/>
      <c r="G1246" s="361"/>
    </row>
    <row r="1247" spans="1:8">
      <c r="A1247" s="330"/>
      <c r="B1247" s="354"/>
      <c r="C1247" s="331"/>
      <c r="E1247" s="338"/>
      <c r="F1247" s="338"/>
      <c r="G1247" s="361"/>
    </row>
    <row r="1248" spans="1:8">
      <c r="A1248" s="330"/>
      <c r="B1248" s="737"/>
      <c r="C1248" s="738"/>
      <c r="D1248" s="738"/>
      <c r="E1248" s="338"/>
      <c r="F1248" s="338"/>
      <c r="G1248" s="361"/>
      <c r="H1248" s="331"/>
    </row>
    <row r="1249" spans="1:8">
      <c r="A1249" s="330"/>
      <c r="B1249" s="356"/>
      <c r="E1249" s="338"/>
      <c r="F1249" s="338"/>
      <c r="G1249" s="361"/>
    </row>
    <row r="1250" spans="1:8">
      <c r="A1250" s="330"/>
      <c r="B1250" s="356"/>
      <c r="E1250" s="338"/>
      <c r="F1250" s="338"/>
      <c r="G1250" s="361"/>
    </row>
    <row r="1251" spans="1:8">
      <c r="A1251" s="330"/>
      <c r="B1251" s="356"/>
      <c r="E1251" s="338"/>
      <c r="F1251" s="338"/>
      <c r="G1251" s="361"/>
      <c r="H1251" s="350"/>
    </row>
    <row r="1252" spans="1:8">
      <c r="A1252" s="330"/>
      <c r="B1252" s="356"/>
      <c r="E1252" s="338"/>
      <c r="F1252" s="338"/>
      <c r="G1252" s="361"/>
    </row>
    <row r="1253" spans="1:8">
      <c r="A1253" s="330"/>
      <c r="B1253" s="744"/>
      <c r="C1253" s="745"/>
      <c r="D1253" s="746"/>
      <c r="E1253" s="338"/>
      <c r="F1253" s="338"/>
      <c r="G1253" s="361"/>
      <c r="H1253" s="331"/>
    </row>
    <row r="1254" spans="1:8">
      <c r="A1254" s="330"/>
      <c r="B1254" s="356"/>
      <c r="D1254" s="357"/>
      <c r="E1254" s="338"/>
      <c r="F1254" s="338"/>
      <c r="G1254" s="361"/>
    </row>
    <row r="1255" spans="1:8">
      <c r="A1255" s="330"/>
      <c r="B1255" s="356"/>
      <c r="D1255" s="367" t="s">
        <v>797</v>
      </c>
      <c r="E1255" s="338"/>
      <c r="F1255" s="338"/>
      <c r="G1255" s="361"/>
    </row>
    <row r="1256" spans="1:8">
      <c r="A1256" s="330"/>
      <c r="B1256" s="356"/>
      <c r="D1256" s="357" t="s">
        <v>798</v>
      </c>
      <c r="E1256" s="338"/>
      <c r="F1256" s="338"/>
      <c r="G1256" s="361"/>
      <c r="H1256" s="351"/>
    </row>
    <row r="1257" spans="1:8">
      <c r="A1257" s="330"/>
      <c r="B1257" s="354"/>
      <c r="C1257" s="331"/>
      <c r="D1257" s="355" t="s">
        <v>799</v>
      </c>
      <c r="E1257" s="338"/>
      <c r="F1257" s="338"/>
      <c r="G1257" s="361"/>
      <c r="H1257" s="331"/>
    </row>
    <row r="1258" spans="1:8">
      <c r="A1258" s="330"/>
      <c r="B1258" s="354"/>
      <c r="C1258" s="331"/>
      <c r="D1258" s="355" t="s">
        <v>800</v>
      </c>
      <c r="E1258" s="338"/>
      <c r="F1258" s="338"/>
      <c r="G1258" s="361"/>
      <c r="H1258" s="331"/>
    </row>
    <row r="1259" spans="1:8">
      <c r="A1259" s="330"/>
      <c r="B1259" s="354"/>
      <c r="C1259" s="331"/>
      <c r="D1259" s="355"/>
      <c r="E1259" s="338"/>
      <c r="F1259" s="338"/>
      <c r="G1259" s="361"/>
      <c r="H1259" s="331"/>
    </row>
    <row r="1260" spans="1:8">
      <c r="A1260" s="330"/>
      <c r="B1260" s="354"/>
      <c r="C1260" s="331"/>
      <c r="D1260" s="355"/>
      <c r="E1260" s="338"/>
      <c r="F1260" s="338"/>
      <c r="G1260" s="361"/>
      <c r="H1260" s="331"/>
    </row>
    <row r="1261" spans="1:8">
      <c r="A1261" s="330"/>
      <c r="B1261" s="368"/>
      <c r="C1261" s="369"/>
      <c r="D1261" s="370"/>
      <c r="E1261" s="371"/>
      <c r="F1261" s="371"/>
      <c r="G1261" s="372"/>
      <c r="H1261" s="331"/>
    </row>
    <row r="1262" spans="1:8">
      <c r="A1262" s="330"/>
      <c r="B1262" s="736"/>
      <c r="C1262" s="736"/>
      <c r="D1262" s="736"/>
      <c r="E1262" s="338"/>
      <c r="F1262" s="338"/>
      <c r="G1262" s="338"/>
      <c r="H1262" s="345"/>
    </row>
    <row r="1263" spans="1:8">
      <c r="A1263" s="329"/>
      <c r="B1263" s="736"/>
      <c r="C1263" s="736"/>
      <c r="D1263" s="736"/>
      <c r="E1263" s="338"/>
      <c r="F1263" s="338"/>
      <c r="G1263" s="338"/>
    </row>
    <row r="1264" spans="1:8">
      <c r="A1264" s="330"/>
      <c r="B1264" s="748"/>
      <c r="C1264" s="749"/>
      <c r="D1264" s="749"/>
      <c r="E1264" s="749"/>
      <c r="F1264" s="352"/>
      <c r="G1264" s="353"/>
      <c r="H1264" s="332"/>
    </row>
    <row r="1265" spans="1:8">
      <c r="A1265" s="330"/>
      <c r="B1265" s="354"/>
      <c r="C1265" s="331"/>
      <c r="D1265" s="331"/>
      <c r="E1265" s="331"/>
      <c r="F1265" s="331"/>
      <c r="G1265" s="355"/>
      <c r="H1265" s="331"/>
    </row>
    <row r="1266" spans="1:8">
      <c r="A1266" s="330"/>
      <c r="B1266" s="354"/>
      <c r="C1266" s="331"/>
      <c r="D1266" s="331"/>
      <c r="E1266" s="331"/>
      <c r="F1266" s="331"/>
      <c r="G1266" s="355"/>
      <c r="H1266" s="331"/>
    </row>
    <row r="1267" spans="1:8">
      <c r="A1267" s="330"/>
      <c r="B1267" s="737"/>
      <c r="C1267" s="738"/>
      <c r="D1267" s="738"/>
      <c r="E1267" s="738"/>
      <c r="F1267" s="331"/>
      <c r="G1267" s="355"/>
      <c r="H1267" s="331"/>
    </row>
    <row r="1268" spans="1:8">
      <c r="A1268" s="330"/>
      <c r="B1268" s="354"/>
      <c r="C1268" s="331"/>
      <c r="D1268" s="331"/>
      <c r="E1268" s="331"/>
      <c r="F1268" s="331"/>
      <c r="G1268" s="355"/>
      <c r="H1268" s="331"/>
    </row>
    <row r="1269" spans="1:8">
      <c r="A1269" s="330"/>
      <c r="B1269" s="354"/>
      <c r="C1269" s="331"/>
      <c r="D1269" s="331"/>
      <c r="E1269" s="331"/>
      <c r="F1269" s="331"/>
      <c r="G1269" s="355"/>
      <c r="H1269" s="331"/>
    </row>
    <row r="1270" spans="1:8" ht="15.75" customHeight="1">
      <c r="A1270" s="330"/>
      <c r="B1270" s="354"/>
      <c r="C1270" s="331"/>
      <c r="D1270" s="751" t="s">
        <v>1940</v>
      </c>
      <c r="E1270" s="751"/>
      <c r="F1270" s="331"/>
      <c r="G1270" s="355"/>
      <c r="H1270" s="331"/>
    </row>
    <row r="1271" spans="1:8" ht="15.75" customHeight="1">
      <c r="A1271" s="330"/>
      <c r="B1271" s="356"/>
      <c r="D1271" s="751"/>
      <c r="E1271" s="751"/>
      <c r="F1271" s="331"/>
      <c r="G1271" s="355"/>
      <c r="H1271" s="331"/>
    </row>
    <row r="1272" spans="1:8" ht="15.75" customHeight="1">
      <c r="A1272" s="330"/>
      <c r="B1272" s="354"/>
      <c r="C1272" s="331"/>
      <c r="D1272" s="751"/>
      <c r="E1272" s="751"/>
      <c r="F1272" s="331"/>
      <c r="G1272" s="355"/>
      <c r="H1272" s="331"/>
    </row>
    <row r="1273" spans="1:8" ht="15.75" customHeight="1">
      <c r="A1273" s="330"/>
      <c r="B1273" s="354"/>
      <c r="C1273" s="331"/>
      <c r="D1273" s="751"/>
      <c r="E1273" s="751"/>
      <c r="F1273" s="331"/>
      <c r="G1273" s="355"/>
      <c r="H1273" s="331"/>
    </row>
    <row r="1274" spans="1:8" ht="15.75" customHeight="1">
      <c r="A1274" s="330"/>
      <c r="B1274" s="354"/>
      <c r="C1274" s="331"/>
      <c r="D1274" s="751"/>
      <c r="E1274" s="751"/>
      <c r="F1274" s="331"/>
      <c r="G1274" s="355"/>
      <c r="H1274" s="331"/>
    </row>
    <row r="1275" spans="1:8" ht="15.75" customHeight="1">
      <c r="A1275" s="330"/>
      <c r="B1275" s="354"/>
      <c r="C1275" s="331"/>
      <c r="D1275" s="751"/>
      <c r="E1275" s="751"/>
      <c r="F1275" s="331"/>
      <c r="G1275" s="355"/>
      <c r="H1275" s="331"/>
    </row>
    <row r="1276" spans="1:8" ht="15.75" customHeight="1">
      <c r="A1276" s="330"/>
      <c r="B1276" s="354"/>
      <c r="C1276" s="331"/>
      <c r="D1276" s="751"/>
      <c r="E1276" s="751"/>
      <c r="F1276" s="331"/>
      <c r="G1276" s="355"/>
      <c r="H1276" s="331"/>
    </row>
    <row r="1277" spans="1:8" ht="15.75" customHeight="1">
      <c r="A1277" s="330"/>
      <c r="B1277" s="354"/>
      <c r="C1277" s="331"/>
      <c r="D1277" s="751"/>
      <c r="E1277" s="751"/>
      <c r="F1277" s="331"/>
      <c r="G1277" s="355"/>
      <c r="H1277" s="331"/>
    </row>
    <row r="1278" spans="1:8">
      <c r="A1278" s="330"/>
      <c r="B1278" s="356"/>
      <c r="D1278" s="751"/>
      <c r="E1278" s="751"/>
      <c r="F1278" s="331"/>
      <c r="G1278" s="355"/>
      <c r="H1278" s="331"/>
    </row>
    <row r="1279" spans="1:8">
      <c r="A1279" s="330"/>
      <c r="B1279" s="354"/>
      <c r="C1279" s="331"/>
      <c r="D1279" s="751"/>
      <c r="E1279" s="751"/>
      <c r="F1279" s="331"/>
      <c r="G1279" s="355"/>
      <c r="H1279" s="331"/>
    </row>
    <row r="1280" spans="1:8">
      <c r="A1280" s="330"/>
      <c r="B1280" s="354"/>
      <c r="C1280" s="331"/>
      <c r="D1280" s="751"/>
      <c r="E1280" s="751"/>
      <c r="F1280" s="331"/>
      <c r="G1280" s="355"/>
      <c r="H1280" s="333"/>
    </row>
    <row r="1281" spans="1:8">
      <c r="A1281" s="330"/>
      <c r="B1281" s="354"/>
      <c r="C1281" s="331"/>
      <c r="D1281" s="751"/>
      <c r="E1281" s="751"/>
      <c r="F1281" s="331"/>
      <c r="G1281" s="355"/>
      <c r="H1281" s="333"/>
    </row>
    <row r="1282" spans="1:8">
      <c r="A1282" s="330"/>
      <c r="B1282" s="354"/>
      <c r="C1282" s="331"/>
      <c r="D1282" s="751"/>
      <c r="E1282" s="751"/>
      <c r="F1282" s="331"/>
      <c r="G1282" s="355"/>
      <c r="H1282" s="333"/>
    </row>
    <row r="1283" spans="1:8">
      <c r="A1283" s="330"/>
      <c r="B1283" s="354"/>
      <c r="C1283" s="331"/>
      <c r="D1283" s="751"/>
      <c r="E1283" s="751"/>
      <c r="F1283" s="331"/>
      <c r="G1283" s="355"/>
      <c r="H1283" s="333"/>
    </row>
    <row r="1284" spans="1:8">
      <c r="A1284" s="330"/>
      <c r="B1284" s="356"/>
      <c r="G1284" s="357"/>
      <c r="H1284" s="333"/>
    </row>
    <row r="1285" spans="1:8">
      <c r="A1285" s="337"/>
      <c r="B1285" s="752"/>
      <c r="C1285" s="753"/>
      <c r="D1285" s="753"/>
      <c r="E1285" s="753"/>
      <c r="F1285" s="358"/>
      <c r="G1285" s="359"/>
      <c r="H1285" s="360"/>
    </row>
    <row r="1286" spans="1:8">
      <c r="A1286" s="330"/>
      <c r="B1286" s="356"/>
      <c r="G1286" s="357"/>
    </row>
    <row r="1287" spans="1:8">
      <c r="A1287" s="330"/>
      <c r="B1287" s="354"/>
      <c r="C1287" s="331"/>
      <c r="D1287" s="331"/>
      <c r="E1287" s="338"/>
      <c r="F1287" s="338"/>
      <c r="G1287" s="361"/>
      <c r="H1287" s="339"/>
    </row>
    <row r="1288" spans="1:8">
      <c r="A1288" s="330"/>
      <c r="B1288" s="730"/>
      <c r="C1288" s="731"/>
      <c r="D1288" s="731"/>
      <c r="E1288" s="731"/>
      <c r="F1288" s="343"/>
      <c r="G1288" s="362"/>
      <c r="H1288" s="743"/>
    </row>
    <row r="1289" spans="1:8">
      <c r="A1289" s="330"/>
      <c r="B1289" s="730"/>
      <c r="C1289" s="731"/>
      <c r="D1289" s="731"/>
      <c r="E1289" s="731"/>
      <c r="F1289" s="343"/>
      <c r="G1289" s="362"/>
      <c r="H1289" s="743"/>
    </row>
    <row r="1290" spans="1:8">
      <c r="A1290" s="330"/>
      <c r="B1290" s="363"/>
      <c r="C1290" s="343"/>
      <c r="D1290" s="343"/>
      <c r="E1290" s="343"/>
      <c r="F1290" s="343"/>
      <c r="G1290" s="362"/>
      <c r="H1290" s="344"/>
    </row>
    <row r="1291" spans="1:8">
      <c r="A1291" s="330"/>
      <c r="B1291" s="364"/>
      <c r="C1291" s="332"/>
      <c r="D1291" s="332"/>
      <c r="E1291" s="332"/>
      <c r="F1291" s="332"/>
      <c r="G1291" s="365"/>
      <c r="H1291" s="332"/>
    </row>
    <row r="1292" spans="1:8">
      <c r="A1292" s="330"/>
      <c r="B1292" s="737"/>
      <c r="C1292" s="738"/>
      <c r="D1292" s="738"/>
      <c r="E1292" s="738"/>
      <c r="F1292" s="331"/>
      <c r="G1292" s="355"/>
      <c r="H1292" s="345"/>
    </row>
    <row r="1293" spans="1:8">
      <c r="A1293" s="330"/>
      <c r="B1293" s="737"/>
      <c r="C1293" s="738"/>
      <c r="D1293" s="738"/>
      <c r="E1293" s="738"/>
      <c r="F1293" s="331"/>
      <c r="G1293" s="355"/>
      <c r="H1293" s="345"/>
    </row>
    <row r="1294" spans="1:8">
      <c r="A1294" s="330"/>
      <c r="B1294" s="354" t="s">
        <v>775</v>
      </c>
      <c r="C1294" s="331"/>
      <c r="D1294" s="331"/>
      <c r="E1294" s="331"/>
      <c r="F1294" s="331"/>
      <c r="G1294" s="355"/>
      <c r="H1294" s="345"/>
    </row>
    <row r="1295" spans="1:8">
      <c r="A1295" s="330"/>
      <c r="B1295" s="737"/>
      <c r="C1295" s="738"/>
      <c r="D1295" s="738"/>
      <c r="E1295" s="738"/>
      <c r="F1295" s="331"/>
      <c r="G1295" s="355"/>
      <c r="H1295" s="345"/>
    </row>
    <row r="1296" spans="1:8" ht="27.75">
      <c r="A1296" s="330"/>
      <c r="B1296" s="373"/>
      <c r="C1296" s="341"/>
      <c r="D1296" s="739" t="s">
        <v>762</v>
      </c>
      <c r="E1296" s="739"/>
      <c r="F1296" s="330"/>
      <c r="G1296" s="366"/>
      <c r="H1296" s="339"/>
    </row>
    <row r="1297" spans="1:8">
      <c r="A1297" s="330"/>
      <c r="B1297" s="356"/>
      <c r="G1297" s="357"/>
    </row>
    <row r="1298" spans="1:8">
      <c r="A1298" s="330"/>
      <c r="B1298" s="373"/>
      <c r="C1298" s="341"/>
      <c r="D1298" s="733"/>
      <c r="E1298" s="733"/>
      <c r="F1298" s="332"/>
      <c r="G1298" s="365"/>
      <c r="H1298" s="339"/>
    </row>
    <row r="1299" spans="1:8">
      <c r="A1299" s="330"/>
      <c r="B1299" s="356"/>
      <c r="D1299" s="733" t="s">
        <v>801</v>
      </c>
      <c r="E1299" s="733"/>
      <c r="G1299" s="357"/>
    </row>
    <row r="1300" spans="1:8">
      <c r="A1300" s="330"/>
      <c r="B1300" s="730"/>
      <c r="C1300" s="731"/>
      <c r="D1300" s="731"/>
      <c r="E1300" s="338"/>
      <c r="F1300" s="338"/>
      <c r="G1300" s="361"/>
      <c r="H1300" s="331"/>
    </row>
    <row r="1301" spans="1:8">
      <c r="A1301" s="330"/>
      <c r="B1301" s="730"/>
      <c r="C1301" s="731"/>
      <c r="D1301" s="731"/>
      <c r="E1301" s="338"/>
      <c r="F1301" s="338"/>
      <c r="G1301" s="361"/>
      <c r="H1301" s="331"/>
    </row>
    <row r="1302" spans="1:8">
      <c r="A1302" s="330"/>
      <c r="B1302" s="356"/>
      <c r="D1302" s="732" t="s">
        <v>806</v>
      </c>
      <c r="E1302" s="732"/>
      <c r="F1302" s="338"/>
      <c r="G1302" s="361"/>
    </row>
    <row r="1303" spans="1:8">
      <c r="A1303" s="330"/>
      <c r="B1303" s="354"/>
      <c r="C1303" s="331"/>
      <c r="D1303" s="331"/>
      <c r="E1303" s="338"/>
      <c r="F1303" s="338"/>
      <c r="G1303" s="361"/>
      <c r="H1303" s="331"/>
    </row>
    <row r="1304" spans="1:8">
      <c r="A1304" s="330"/>
      <c r="B1304" s="354"/>
      <c r="C1304" s="331"/>
      <c r="D1304" s="733" t="s">
        <v>802</v>
      </c>
      <c r="E1304" s="733"/>
      <c r="F1304" s="338"/>
      <c r="G1304" s="361"/>
      <c r="H1304" s="331"/>
    </row>
    <row r="1305" spans="1:8">
      <c r="A1305" s="330"/>
      <c r="B1305" s="354"/>
      <c r="C1305" s="331"/>
      <c r="D1305" s="734" t="s">
        <v>807</v>
      </c>
      <c r="E1305" s="734"/>
      <c r="F1305" s="338"/>
      <c r="G1305" s="361"/>
      <c r="H1305" s="331"/>
    </row>
    <row r="1306" spans="1:8">
      <c r="A1306" s="330"/>
      <c r="B1306" s="735"/>
      <c r="C1306" s="736"/>
      <c r="D1306" s="736"/>
      <c r="E1306" s="338"/>
      <c r="F1306" s="338"/>
      <c r="G1306" s="361"/>
    </row>
    <row r="1307" spans="1:8">
      <c r="A1307" s="330"/>
      <c r="B1307" s="735"/>
      <c r="C1307" s="736"/>
      <c r="D1307" s="736"/>
      <c r="E1307" s="338"/>
      <c r="F1307" s="338"/>
      <c r="G1307" s="361"/>
    </row>
    <row r="1308" spans="1:8">
      <c r="A1308" s="330"/>
      <c r="B1308" s="354"/>
      <c r="C1308" s="331"/>
      <c r="E1308" s="338"/>
      <c r="F1308" s="338"/>
      <c r="G1308" s="361"/>
    </row>
    <row r="1309" spans="1:8">
      <c r="A1309" s="330"/>
      <c r="B1309" s="737"/>
      <c r="C1309" s="738"/>
      <c r="D1309" s="738"/>
      <c r="E1309" s="338"/>
      <c r="F1309" s="338"/>
      <c r="G1309" s="361"/>
      <c r="H1309" s="331"/>
    </row>
    <row r="1310" spans="1:8">
      <c r="A1310" s="330"/>
      <c r="B1310" s="356"/>
      <c r="E1310" s="338"/>
      <c r="F1310" s="338"/>
      <c r="G1310" s="361"/>
    </row>
    <row r="1311" spans="1:8">
      <c r="A1311" s="330"/>
      <c r="B1311" s="356"/>
      <c r="E1311" s="338"/>
      <c r="F1311" s="338"/>
      <c r="G1311" s="361"/>
    </row>
    <row r="1312" spans="1:8">
      <c r="A1312" s="330"/>
      <c r="B1312" s="356"/>
      <c r="E1312" s="338"/>
      <c r="F1312" s="338"/>
      <c r="G1312" s="361"/>
      <c r="H1312" s="350"/>
    </row>
    <row r="1313" spans="1:8">
      <c r="A1313" s="330"/>
      <c r="B1313" s="356"/>
      <c r="E1313" s="338"/>
      <c r="F1313" s="338"/>
      <c r="G1313" s="361"/>
    </row>
    <row r="1314" spans="1:8">
      <c r="A1314" s="330"/>
      <c r="B1314" s="744"/>
      <c r="C1314" s="745"/>
      <c r="D1314" s="746"/>
      <c r="E1314" s="338"/>
      <c r="F1314" s="338"/>
      <c r="G1314" s="361"/>
      <c r="H1314" s="331"/>
    </row>
    <row r="1315" spans="1:8">
      <c r="A1315" s="330"/>
      <c r="B1315" s="356"/>
      <c r="D1315" s="357"/>
      <c r="E1315" s="338"/>
      <c r="F1315" s="338"/>
      <c r="G1315" s="361"/>
    </row>
    <row r="1316" spans="1:8">
      <c r="A1316" s="330"/>
      <c r="B1316" s="356"/>
      <c r="D1316" s="367" t="s">
        <v>797</v>
      </c>
      <c r="E1316" s="338"/>
      <c r="F1316" s="338"/>
      <c r="G1316" s="361"/>
    </row>
    <row r="1317" spans="1:8">
      <c r="A1317" s="330"/>
      <c r="B1317" s="356"/>
      <c r="D1317" s="357" t="s">
        <v>798</v>
      </c>
      <c r="E1317" s="338"/>
      <c r="F1317" s="338"/>
      <c r="G1317" s="361"/>
      <c r="H1317" s="351"/>
    </row>
    <row r="1318" spans="1:8">
      <c r="A1318" s="330"/>
      <c r="B1318" s="354"/>
      <c r="C1318" s="331"/>
      <c r="D1318" s="355" t="s">
        <v>799</v>
      </c>
      <c r="E1318" s="338"/>
      <c r="F1318" s="338"/>
      <c r="G1318" s="361"/>
      <c r="H1318" s="331"/>
    </row>
    <row r="1319" spans="1:8">
      <c r="A1319" s="330"/>
      <c r="B1319" s="354"/>
      <c r="C1319" s="331"/>
      <c r="D1319" s="355" t="s">
        <v>800</v>
      </c>
      <c r="E1319" s="338"/>
      <c r="F1319" s="338"/>
      <c r="G1319" s="361"/>
      <c r="H1319" s="331"/>
    </row>
    <row r="1320" spans="1:8">
      <c r="A1320" s="330"/>
      <c r="B1320" s="354"/>
      <c r="C1320" s="331"/>
      <c r="D1320" s="355"/>
      <c r="E1320" s="338"/>
      <c r="F1320" s="338"/>
      <c r="G1320" s="361"/>
      <c r="H1320" s="331"/>
    </row>
    <row r="1321" spans="1:8">
      <c r="A1321" s="330"/>
      <c r="B1321" s="354"/>
      <c r="C1321" s="331"/>
      <c r="D1321" s="355"/>
      <c r="E1321" s="338"/>
      <c r="F1321" s="338"/>
      <c r="G1321" s="361"/>
      <c r="H1321" s="331"/>
    </row>
    <row r="1322" spans="1:8">
      <c r="A1322" s="330"/>
      <c r="B1322" s="368"/>
      <c r="C1322" s="369"/>
      <c r="D1322" s="370"/>
      <c r="E1322" s="371"/>
      <c r="F1322" s="371"/>
      <c r="G1322" s="372"/>
      <c r="H1322" s="331"/>
    </row>
    <row r="1323" spans="1:8">
      <c r="A1323" s="330"/>
      <c r="E1323" s="338"/>
      <c r="F1323" s="338"/>
      <c r="G1323" s="338"/>
      <c r="H1323" s="345"/>
    </row>
    <row r="1325" spans="1:8">
      <c r="A1325" s="329"/>
      <c r="E1325" s="338"/>
      <c r="F1325" s="338"/>
      <c r="G1325" s="338"/>
    </row>
    <row r="1326" spans="1:8">
      <c r="A1326" s="330"/>
      <c r="B1326" s="748"/>
      <c r="C1326" s="749"/>
      <c r="D1326" s="749"/>
      <c r="E1326" s="749"/>
      <c r="F1326" s="352"/>
      <c r="G1326" s="353"/>
      <c r="H1326" s="332"/>
    </row>
    <row r="1327" spans="1:8">
      <c r="A1327" s="330"/>
      <c r="B1327" s="354"/>
      <c r="C1327" s="331"/>
      <c r="D1327" s="331"/>
      <c r="E1327" s="331"/>
      <c r="F1327" s="331"/>
      <c r="G1327" s="355"/>
      <c r="H1327" s="331"/>
    </row>
    <row r="1328" spans="1:8">
      <c r="A1328" s="330"/>
      <c r="B1328" s="354"/>
      <c r="C1328" s="331"/>
      <c r="D1328" s="331"/>
      <c r="E1328" s="331"/>
      <c r="F1328" s="331"/>
      <c r="G1328" s="355"/>
      <c r="H1328" s="331"/>
    </row>
    <row r="1329" spans="1:8">
      <c r="A1329" s="330"/>
      <c r="B1329" s="737"/>
      <c r="C1329" s="738"/>
      <c r="D1329" s="738"/>
      <c r="E1329" s="738"/>
      <c r="F1329" s="331"/>
      <c r="G1329" s="355"/>
      <c r="H1329" s="331"/>
    </row>
    <row r="1330" spans="1:8">
      <c r="A1330" s="330"/>
      <c r="B1330" s="354"/>
      <c r="C1330" s="331"/>
      <c r="D1330" s="331"/>
      <c r="E1330" s="331"/>
      <c r="F1330" s="331"/>
      <c r="G1330" s="355"/>
      <c r="H1330" s="331"/>
    </row>
    <row r="1331" spans="1:8">
      <c r="A1331" s="330"/>
      <c r="B1331" s="354"/>
      <c r="C1331" s="331"/>
      <c r="D1331" s="331"/>
      <c r="E1331" s="331"/>
      <c r="F1331" s="331"/>
      <c r="G1331" s="355"/>
      <c r="H1331" s="331"/>
    </row>
    <row r="1332" spans="1:8" ht="15.75" customHeight="1">
      <c r="A1332" s="330"/>
      <c r="B1332" s="354"/>
      <c r="C1332" s="331"/>
      <c r="D1332" s="751" t="s">
        <v>1948</v>
      </c>
      <c r="E1332" s="751"/>
      <c r="F1332" s="331"/>
      <c r="G1332" s="355"/>
      <c r="H1332" s="331"/>
    </row>
    <row r="1333" spans="1:8" ht="15.75" customHeight="1">
      <c r="A1333" s="330"/>
      <c r="B1333" s="356"/>
      <c r="D1333" s="751"/>
      <c r="E1333" s="751"/>
      <c r="F1333" s="331"/>
      <c r="G1333" s="355"/>
      <c r="H1333" s="331"/>
    </row>
    <row r="1334" spans="1:8" ht="15.75" customHeight="1">
      <c r="A1334" s="330"/>
      <c r="B1334" s="354"/>
      <c r="C1334" s="331"/>
      <c r="D1334" s="751"/>
      <c r="E1334" s="751"/>
      <c r="F1334" s="331"/>
      <c r="G1334" s="355"/>
      <c r="H1334" s="331"/>
    </row>
    <row r="1335" spans="1:8" ht="15.75" customHeight="1">
      <c r="A1335" s="330"/>
      <c r="B1335" s="354"/>
      <c r="C1335" s="331"/>
      <c r="D1335" s="751"/>
      <c r="E1335" s="751"/>
      <c r="F1335" s="331"/>
      <c r="G1335" s="355"/>
      <c r="H1335" s="331"/>
    </row>
    <row r="1336" spans="1:8" ht="15.75" customHeight="1">
      <c r="A1336" s="330"/>
      <c r="B1336" s="354"/>
      <c r="C1336" s="331"/>
      <c r="D1336" s="751"/>
      <c r="E1336" s="751"/>
      <c r="F1336" s="331"/>
      <c r="G1336" s="355"/>
      <c r="H1336" s="331"/>
    </row>
    <row r="1337" spans="1:8" ht="15.75" customHeight="1">
      <c r="A1337" s="330"/>
      <c r="B1337" s="354"/>
      <c r="C1337" s="331"/>
      <c r="D1337" s="751"/>
      <c r="E1337" s="751"/>
      <c r="F1337" s="331"/>
      <c r="G1337" s="355"/>
      <c r="H1337" s="331"/>
    </row>
    <row r="1338" spans="1:8" ht="15.75" customHeight="1">
      <c r="A1338" s="330"/>
      <c r="B1338" s="354"/>
      <c r="C1338" s="331"/>
      <c r="D1338" s="751"/>
      <c r="E1338" s="751"/>
      <c r="F1338" s="331"/>
      <c r="G1338" s="355"/>
      <c r="H1338" s="331"/>
    </row>
    <row r="1339" spans="1:8" ht="15.75" customHeight="1">
      <c r="A1339" s="330"/>
      <c r="B1339" s="354"/>
      <c r="C1339" s="331"/>
      <c r="D1339" s="751"/>
      <c r="E1339" s="751"/>
      <c r="F1339" s="331"/>
      <c r="G1339" s="355"/>
      <c r="H1339" s="331"/>
    </row>
    <row r="1340" spans="1:8">
      <c r="A1340" s="330"/>
      <c r="B1340" s="356"/>
      <c r="D1340" s="751"/>
      <c r="E1340" s="751"/>
      <c r="F1340" s="331"/>
      <c r="G1340" s="355"/>
      <c r="H1340" s="331"/>
    </row>
    <row r="1341" spans="1:8">
      <c r="A1341" s="330"/>
      <c r="B1341" s="354"/>
      <c r="C1341" s="331"/>
      <c r="D1341" s="751"/>
      <c r="E1341" s="751"/>
      <c r="F1341" s="331"/>
      <c r="G1341" s="355"/>
      <c r="H1341" s="331"/>
    </row>
    <row r="1342" spans="1:8">
      <c r="A1342" s="330"/>
      <c r="B1342" s="354"/>
      <c r="C1342" s="331"/>
      <c r="D1342" s="751"/>
      <c r="E1342" s="751"/>
      <c r="F1342" s="331"/>
      <c r="G1342" s="355"/>
      <c r="H1342" s="333"/>
    </row>
    <row r="1343" spans="1:8">
      <c r="A1343" s="330"/>
      <c r="B1343" s="354"/>
      <c r="C1343" s="331"/>
      <c r="D1343" s="751"/>
      <c r="E1343" s="751"/>
      <c r="F1343" s="331"/>
      <c r="G1343" s="355"/>
      <c r="H1343" s="333"/>
    </row>
    <row r="1344" spans="1:8">
      <c r="A1344" s="330"/>
      <c r="B1344" s="354"/>
      <c r="C1344" s="331"/>
      <c r="D1344" s="751"/>
      <c r="E1344" s="751"/>
      <c r="F1344" s="331"/>
      <c r="G1344" s="355"/>
      <c r="H1344" s="333"/>
    </row>
    <row r="1345" spans="1:8">
      <c r="A1345" s="330"/>
      <c r="B1345" s="354"/>
      <c r="C1345" s="331"/>
      <c r="D1345" s="751"/>
      <c r="E1345" s="751"/>
      <c r="F1345" s="331"/>
      <c r="G1345" s="355"/>
      <c r="H1345" s="333"/>
    </row>
    <row r="1346" spans="1:8">
      <c r="A1346" s="330"/>
      <c r="B1346" s="356"/>
      <c r="G1346" s="357"/>
      <c r="H1346" s="333"/>
    </row>
    <row r="1347" spans="1:8">
      <c r="A1347" s="337"/>
      <c r="B1347" s="752"/>
      <c r="C1347" s="753"/>
      <c r="D1347" s="753"/>
      <c r="E1347" s="753"/>
      <c r="F1347" s="358"/>
      <c r="G1347" s="359"/>
      <c r="H1347" s="360"/>
    </row>
    <row r="1348" spans="1:8">
      <c r="A1348" s="330"/>
      <c r="B1348" s="356"/>
      <c r="G1348" s="357"/>
    </row>
    <row r="1349" spans="1:8">
      <c r="A1349" s="330"/>
      <c r="B1349" s="354"/>
      <c r="C1349" s="331"/>
      <c r="D1349" s="331"/>
      <c r="E1349" s="338"/>
      <c r="F1349" s="338"/>
      <c r="G1349" s="361"/>
      <c r="H1349" s="339"/>
    </row>
    <row r="1350" spans="1:8">
      <c r="A1350" s="330"/>
      <c r="B1350" s="730"/>
      <c r="C1350" s="731"/>
      <c r="D1350" s="731"/>
      <c r="E1350" s="731"/>
      <c r="F1350" s="343"/>
      <c r="G1350" s="362"/>
      <c r="H1350" s="743"/>
    </row>
    <row r="1351" spans="1:8">
      <c r="A1351" s="330"/>
      <c r="B1351" s="730"/>
      <c r="C1351" s="731"/>
      <c r="D1351" s="731"/>
      <c r="E1351" s="731"/>
      <c r="F1351" s="343"/>
      <c r="G1351" s="362"/>
      <c r="H1351" s="743"/>
    </row>
    <row r="1352" spans="1:8">
      <c r="A1352" s="330"/>
      <c r="B1352" s="363"/>
      <c r="C1352" s="343"/>
      <c r="D1352" s="343"/>
      <c r="E1352" s="343"/>
      <c r="F1352" s="343"/>
      <c r="G1352" s="362"/>
      <c r="H1352" s="344"/>
    </row>
    <row r="1353" spans="1:8">
      <c r="A1353" s="330"/>
      <c r="B1353" s="364"/>
      <c r="C1353" s="332"/>
      <c r="D1353" s="332"/>
      <c r="E1353" s="332"/>
      <c r="F1353" s="332"/>
      <c r="G1353" s="365"/>
      <c r="H1353" s="332"/>
    </row>
    <row r="1354" spans="1:8">
      <c r="A1354" s="330"/>
      <c r="B1354" s="737"/>
      <c r="C1354" s="738"/>
      <c r="D1354" s="738"/>
      <c r="E1354" s="738"/>
      <c r="F1354" s="331"/>
      <c r="G1354" s="355"/>
      <c r="H1354" s="345"/>
    </row>
    <row r="1355" spans="1:8">
      <c r="A1355" s="330"/>
      <c r="B1355" s="737"/>
      <c r="C1355" s="738"/>
      <c r="D1355" s="738"/>
      <c r="E1355" s="738"/>
      <c r="F1355" s="331"/>
      <c r="G1355" s="355"/>
      <c r="H1355" s="345"/>
    </row>
    <row r="1356" spans="1:8">
      <c r="A1356" s="330"/>
      <c r="B1356" s="354" t="s">
        <v>775</v>
      </c>
      <c r="C1356" s="331"/>
      <c r="D1356" s="331"/>
      <c r="E1356" s="331"/>
      <c r="F1356" s="331"/>
      <c r="G1356" s="355"/>
      <c r="H1356" s="345"/>
    </row>
    <row r="1357" spans="1:8">
      <c r="A1357" s="330"/>
      <c r="B1357" s="737"/>
      <c r="C1357" s="738"/>
      <c r="D1357" s="738"/>
      <c r="E1357" s="738"/>
      <c r="F1357" s="331"/>
      <c r="G1357" s="355"/>
      <c r="H1357" s="345"/>
    </row>
    <row r="1358" spans="1:8" ht="27.75">
      <c r="A1358" s="330"/>
      <c r="B1358" s="373"/>
      <c r="C1358" s="341"/>
      <c r="D1358" s="739" t="s">
        <v>762</v>
      </c>
      <c r="E1358" s="739"/>
      <c r="F1358" s="330"/>
      <c r="G1358" s="366"/>
      <c r="H1358" s="339"/>
    </row>
    <row r="1359" spans="1:8">
      <c r="A1359" s="330"/>
      <c r="B1359" s="356"/>
      <c r="G1359" s="357"/>
    </row>
    <row r="1360" spans="1:8">
      <c r="A1360" s="330"/>
      <c r="B1360" s="373"/>
      <c r="C1360" s="341"/>
      <c r="D1360" s="733"/>
      <c r="E1360" s="733"/>
      <c r="F1360" s="332"/>
      <c r="G1360" s="365"/>
      <c r="H1360" s="339"/>
    </row>
    <row r="1361" spans="1:8">
      <c r="A1361" s="330"/>
      <c r="B1361" s="356"/>
      <c r="D1361" s="733" t="s">
        <v>801</v>
      </c>
      <c r="E1361" s="733"/>
      <c r="G1361" s="357"/>
    </row>
    <row r="1362" spans="1:8">
      <c r="A1362" s="330"/>
      <c r="B1362" s="730"/>
      <c r="C1362" s="731"/>
      <c r="D1362" s="731"/>
      <c r="E1362" s="338"/>
      <c r="F1362" s="338"/>
      <c r="G1362" s="361"/>
      <c r="H1362" s="331"/>
    </row>
    <row r="1363" spans="1:8">
      <c r="A1363" s="330"/>
      <c r="B1363" s="730"/>
      <c r="C1363" s="731"/>
      <c r="D1363" s="731"/>
      <c r="E1363" s="338"/>
      <c r="F1363" s="338"/>
      <c r="G1363" s="361"/>
      <c r="H1363" s="331"/>
    </row>
    <row r="1364" spans="1:8">
      <c r="A1364" s="330"/>
      <c r="B1364" s="356"/>
      <c r="D1364" s="732" t="s">
        <v>806</v>
      </c>
      <c r="E1364" s="732"/>
      <c r="F1364" s="338"/>
      <c r="G1364" s="361"/>
    </row>
    <row r="1365" spans="1:8">
      <c r="A1365" s="330"/>
      <c r="B1365" s="354"/>
      <c r="C1365" s="331"/>
      <c r="D1365" s="331"/>
      <c r="E1365" s="338"/>
      <c r="F1365" s="338"/>
      <c r="G1365" s="361"/>
      <c r="H1365" s="331"/>
    </row>
    <row r="1366" spans="1:8">
      <c r="A1366" s="330"/>
      <c r="B1366" s="354"/>
      <c r="C1366" s="331"/>
      <c r="D1366" s="733" t="s">
        <v>802</v>
      </c>
      <c r="E1366" s="733"/>
      <c r="F1366" s="338"/>
      <c r="G1366" s="361"/>
      <c r="H1366" s="331"/>
    </row>
    <row r="1367" spans="1:8">
      <c r="A1367" s="330"/>
      <c r="B1367" s="354"/>
      <c r="C1367" s="331"/>
      <c r="D1367" s="734" t="s">
        <v>807</v>
      </c>
      <c r="E1367" s="734"/>
      <c r="F1367" s="338"/>
      <c r="G1367" s="361"/>
      <c r="H1367" s="331"/>
    </row>
    <row r="1368" spans="1:8">
      <c r="A1368" s="330"/>
      <c r="B1368" s="735"/>
      <c r="C1368" s="736"/>
      <c r="D1368" s="736"/>
      <c r="E1368" s="338"/>
      <c r="F1368" s="338"/>
      <c r="G1368" s="361"/>
    </row>
    <row r="1369" spans="1:8">
      <c r="A1369" s="330"/>
      <c r="B1369" s="735"/>
      <c r="C1369" s="736"/>
      <c r="D1369" s="736"/>
      <c r="E1369" s="338"/>
      <c r="F1369" s="338"/>
      <c r="G1369" s="361"/>
    </row>
    <row r="1370" spans="1:8">
      <c r="A1370" s="330"/>
      <c r="B1370" s="354"/>
      <c r="C1370" s="331"/>
      <c r="E1370" s="338"/>
      <c r="F1370" s="338"/>
      <c r="G1370" s="361"/>
    </row>
    <row r="1371" spans="1:8">
      <c r="A1371" s="330"/>
      <c r="B1371" s="737"/>
      <c r="C1371" s="738"/>
      <c r="D1371" s="738"/>
      <c r="E1371" s="338"/>
      <c r="F1371" s="338"/>
      <c r="G1371" s="361"/>
      <c r="H1371" s="331"/>
    </row>
    <row r="1372" spans="1:8">
      <c r="A1372" s="330"/>
      <c r="B1372" s="356"/>
      <c r="E1372" s="338"/>
      <c r="F1372" s="338"/>
      <c r="G1372" s="361"/>
    </row>
    <row r="1373" spans="1:8">
      <c r="A1373" s="330"/>
      <c r="B1373" s="356"/>
      <c r="E1373" s="338"/>
      <c r="F1373" s="338"/>
      <c r="G1373" s="361"/>
    </row>
    <row r="1374" spans="1:8">
      <c r="A1374" s="330"/>
      <c r="B1374" s="356"/>
      <c r="E1374" s="338"/>
      <c r="F1374" s="338"/>
      <c r="G1374" s="361"/>
      <c r="H1374" s="350"/>
    </row>
    <row r="1375" spans="1:8">
      <c r="A1375" s="330"/>
      <c r="B1375" s="356"/>
      <c r="E1375" s="338"/>
      <c r="F1375" s="338"/>
      <c r="G1375" s="361"/>
    </row>
    <row r="1376" spans="1:8">
      <c r="A1376" s="330"/>
      <c r="B1376" s="744"/>
      <c r="C1376" s="745"/>
      <c r="D1376" s="746"/>
      <c r="E1376" s="338"/>
      <c r="F1376" s="338"/>
      <c r="G1376" s="361"/>
      <c r="H1376" s="331"/>
    </row>
    <row r="1377" spans="1:8">
      <c r="A1377" s="330"/>
      <c r="B1377" s="356"/>
      <c r="D1377" s="357"/>
      <c r="E1377" s="338"/>
      <c r="F1377" s="338"/>
      <c r="G1377" s="361"/>
    </row>
    <row r="1378" spans="1:8">
      <c r="A1378" s="330"/>
      <c r="B1378" s="356"/>
      <c r="D1378" s="367" t="s">
        <v>797</v>
      </c>
      <c r="E1378" s="338"/>
      <c r="F1378" s="338"/>
      <c r="G1378" s="361"/>
    </row>
    <row r="1379" spans="1:8">
      <c r="A1379" s="330"/>
      <c r="B1379" s="356"/>
      <c r="D1379" s="357" t="s">
        <v>798</v>
      </c>
      <c r="E1379" s="338"/>
      <c r="F1379" s="338"/>
      <c r="G1379" s="361"/>
      <c r="H1379" s="351"/>
    </row>
    <row r="1380" spans="1:8">
      <c r="A1380" s="330"/>
      <c r="B1380" s="354"/>
      <c r="C1380" s="331"/>
      <c r="D1380" s="355" t="s">
        <v>799</v>
      </c>
      <c r="E1380" s="338"/>
      <c r="F1380" s="338"/>
      <c r="G1380" s="361"/>
      <c r="H1380" s="331"/>
    </row>
    <row r="1381" spans="1:8">
      <c r="A1381" s="330"/>
      <c r="B1381" s="354"/>
      <c r="C1381" s="331"/>
      <c r="D1381" s="355" t="s">
        <v>800</v>
      </c>
      <c r="E1381" s="338"/>
      <c r="F1381" s="338"/>
      <c r="G1381" s="361"/>
      <c r="H1381" s="331"/>
    </row>
    <row r="1382" spans="1:8">
      <c r="A1382" s="330"/>
      <c r="B1382" s="354"/>
      <c r="C1382" s="331"/>
      <c r="D1382" s="355"/>
      <c r="E1382" s="338"/>
      <c r="F1382" s="338"/>
      <c r="G1382" s="361"/>
      <c r="H1382" s="331"/>
    </row>
    <row r="1383" spans="1:8">
      <c r="A1383" s="330"/>
      <c r="B1383" s="354"/>
      <c r="C1383" s="331"/>
      <c r="D1383" s="355"/>
      <c r="E1383" s="338"/>
      <c r="F1383" s="338"/>
      <c r="G1383" s="361"/>
      <c r="H1383" s="331"/>
    </row>
    <row r="1384" spans="1:8">
      <c r="A1384" s="330"/>
      <c r="B1384" s="368"/>
      <c r="C1384" s="369"/>
      <c r="D1384" s="370"/>
      <c r="E1384" s="371"/>
      <c r="F1384" s="371"/>
      <c r="G1384" s="372"/>
      <c r="H1384" s="331"/>
    </row>
    <row r="1385" spans="1:8">
      <c r="A1385" s="330"/>
      <c r="E1385" s="338"/>
      <c r="F1385" s="338"/>
      <c r="G1385" s="338"/>
      <c r="H1385" s="345"/>
    </row>
    <row r="1387" spans="1:8">
      <c r="A1387" s="329"/>
      <c r="E1387" s="338"/>
      <c r="F1387" s="338"/>
      <c r="G1387" s="338"/>
    </row>
    <row r="1388" spans="1:8">
      <c r="A1388" s="330"/>
      <c r="B1388" s="748"/>
      <c r="C1388" s="749"/>
      <c r="D1388" s="749"/>
      <c r="E1388" s="749"/>
      <c r="F1388" s="352"/>
      <c r="G1388" s="353"/>
      <c r="H1388" s="332"/>
    </row>
    <row r="1389" spans="1:8">
      <c r="A1389" s="330"/>
      <c r="B1389" s="354"/>
      <c r="C1389" s="331"/>
      <c r="D1389" s="331"/>
      <c r="E1389" s="331"/>
      <c r="F1389" s="331"/>
      <c r="G1389" s="355"/>
      <c r="H1389" s="331"/>
    </row>
    <row r="1390" spans="1:8">
      <c r="A1390" s="330"/>
      <c r="B1390" s="354"/>
      <c r="C1390" s="331"/>
      <c r="D1390" s="331"/>
      <c r="E1390" s="331"/>
      <c r="F1390" s="331"/>
      <c r="G1390" s="355"/>
      <c r="H1390" s="331"/>
    </row>
    <row r="1391" spans="1:8">
      <c r="A1391" s="330"/>
      <c r="B1391" s="737"/>
      <c r="C1391" s="738"/>
      <c r="D1391" s="738"/>
      <c r="E1391" s="738"/>
      <c r="F1391" s="331"/>
      <c r="G1391" s="355"/>
      <c r="H1391" s="331"/>
    </row>
    <row r="1392" spans="1:8">
      <c r="A1392" s="330"/>
      <c r="B1392" s="354"/>
      <c r="C1392" s="331"/>
      <c r="D1392" s="331"/>
      <c r="E1392" s="331"/>
      <c r="F1392" s="331"/>
      <c r="G1392" s="355"/>
      <c r="H1392" s="331"/>
    </row>
    <row r="1393" spans="1:8">
      <c r="A1393" s="330"/>
      <c r="B1393" s="354"/>
      <c r="C1393" s="331"/>
      <c r="D1393" s="331"/>
      <c r="E1393" s="331"/>
      <c r="F1393" s="331"/>
      <c r="G1393" s="355"/>
      <c r="H1393" s="331"/>
    </row>
    <row r="1394" spans="1:8" ht="15.75" customHeight="1">
      <c r="A1394" s="330"/>
      <c r="B1394" s="354"/>
      <c r="C1394" s="331"/>
      <c r="D1394" s="751" t="s">
        <v>1941</v>
      </c>
      <c r="E1394" s="751"/>
      <c r="F1394" s="331"/>
      <c r="G1394" s="355"/>
      <c r="H1394" s="331"/>
    </row>
    <row r="1395" spans="1:8" ht="15.75" customHeight="1">
      <c r="A1395" s="330"/>
      <c r="B1395" s="356"/>
      <c r="D1395" s="751"/>
      <c r="E1395" s="751"/>
      <c r="F1395" s="331"/>
      <c r="G1395" s="355"/>
      <c r="H1395" s="331"/>
    </row>
    <row r="1396" spans="1:8" ht="15.75" customHeight="1">
      <c r="A1396" s="330"/>
      <c r="B1396" s="354"/>
      <c r="C1396" s="331"/>
      <c r="D1396" s="751"/>
      <c r="E1396" s="751"/>
      <c r="F1396" s="331"/>
      <c r="G1396" s="355"/>
      <c r="H1396" s="331"/>
    </row>
    <row r="1397" spans="1:8" ht="15.75" customHeight="1">
      <c r="A1397" s="330"/>
      <c r="B1397" s="354"/>
      <c r="C1397" s="331"/>
      <c r="D1397" s="751"/>
      <c r="E1397" s="751"/>
      <c r="F1397" s="331"/>
      <c r="G1397" s="355"/>
      <c r="H1397" s="331"/>
    </row>
    <row r="1398" spans="1:8" ht="15.75" customHeight="1">
      <c r="A1398" s="330"/>
      <c r="B1398" s="354"/>
      <c r="C1398" s="331"/>
      <c r="D1398" s="751"/>
      <c r="E1398" s="751"/>
      <c r="F1398" s="331"/>
      <c r="G1398" s="355"/>
      <c r="H1398" s="331"/>
    </row>
    <row r="1399" spans="1:8" ht="15.75" customHeight="1">
      <c r="A1399" s="330"/>
      <c r="B1399" s="354"/>
      <c r="C1399" s="331"/>
      <c r="D1399" s="751"/>
      <c r="E1399" s="751"/>
      <c r="F1399" s="331"/>
      <c r="G1399" s="355"/>
      <c r="H1399" s="331"/>
    </row>
    <row r="1400" spans="1:8" ht="15.75" customHeight="1">
      <c r="A1400" s="330"/>
      <c r="B1400" s="354"/>
      <c r="C1400" s="331"/>
      <c r="D1400" s="751"/>
      <c r="E1400" s="751"/>
      <c r="F1400" s="331"/>
      <c r="G1400" s="355"/>
      <c r="H1400" s="331"/>
    </row>
    <row r="1401" spans="1:8" ht="15.75" customHeight="1">
      <c r="A1401" s="330"/>
      <c r="B1401" s="354"/>
      <c r="C1401" s="331"/>
      <c r="D1401" s="751"/>
      <c r="E1401" s="751"/>
      <c r="F1401" s="331"/>
      <c r="G1401" s="355"/>
      <c r="H1401" s="331"/>
    </row>
    <row r="1402" spans="1:8">
      <c r="A1402" s="330"/>
      <c r="B1402" s="356"/>
      <c r="D1402" s="751"/>
      <c r="E1402" s="751"/>
      <c r="F1402" s="331"/>
      <c r="G1402" s="355"/>
      <c r="H1402" s="331"/>
    </row>
    <row r="1403" spans="1:8">
      <c r="A1403" s="330"/>
      <c r="B1403" s="354"/>
      <c r="C1403" s="331"/>
      <c r="D1403" s="751"/>
      <c r="E1403" s="751"/>
      <c r="F1403" s="331"/>
      <c r="G1403" s="355"/>
      <c r="H1403" s="331"/>
    </row>
    <row r="1404" spans="1:8">
      <c r="A1404" s="330"/>
      <c r="B1404" s="354"/>
      <c r="C1404" s="331"/>
      <c r="D1404" s="751"/>
      <c r="E1404" s="751"/>
      <c r="F1404" s="331"/>
      <c r="G1404" s="355"/>
      <c r="H1404" s="333"/>
    </row>
    <row r="1405" spans="1:8">
      <c r="A1405" s="330"/>
      <c r="B1405" s="354"/>
      <c r="C1405" s="331"/>
      <c r="D1405" s="751"/>
      <c r="E1405" s="751"/>
      <c r="F1405" s="331"/>
      <c r="G1405" s="355"/>
      <c r="H1405" s="333"/>
    </row>
    <row r="1406" spans="1:8">
      <c r="A1406" s="330"/>
      <c r="B1406" s="354"/>
      <c r="C1406" s="331"/>
      <c r="D1406" s="751"/>
      <c r="E1406" s="751"/>
      <c r="F1406" s="331"/>
      <c r="G1406" s="355"/>
      <c r="H1406" s="333"/>
    </row>
    <row r="1407" spans="1:8">
      <c r="A1407" s="330"/>
      <c r="B1407" s="354"/>
      <c r="C1407" s="331"/>
      <c r="D1407" s="751"/>
      <c r="E1407" s="751"/>
      <c r="F1407" s="331"/>
      <c r="G1407" s="355"/>
      <c r="H1407" s="333"/>
    </row>
    <row r="1408" spans="1:8">
      <c r="A1408" s="330"/>
      <c r="B1408" s="356"/>
      <c r="G1408" s="357"/>
      <c r="H1408" s="333"/>
    </row>
    <row r="1409" spans="1:8">
      <c r="A1409" s="337"/>
      <c r="B1409" s="752"/>
      <c r="C1409" s="753"/>
      <c r="D1409" s="753"/>
      <c r="E1409" s="753"/>
      <c r="F1409" s="358"/>
      <c r="G1409" s="359"/>
      <c r="H1409" s="360"/>
    </row>
    <row r="1410" spans="1:8">
      <c r="A1410" s="330"/>
      <c r="B1410" s="356"/>
      <c r="G1410" s="357"/>
    </row>
    <row r="1411" spans="1:8">
      <c r="A1411" s="330"/>
      <c r="B1411" s="354"/>
      <c r="C1411" s="331"/>
      <c r="D1411" s="331"/>
      <c r="E1411" s="338"/>
      <c r="F1411" s="338"/>
      <c r="G1411" s="361"/>
      <c r="H1411" s="339"/>
    </row>
    <row r="1412" spans="1:8">
      <c r="A1412" s="330"/>
      <c r="B1412" s="730"/>
      <c r="C1412" s="731"/>
      <c r="D1412" s="731"/>
      <c r="E1412" s="731"/>
      <c r="F1412" s="343"/>
      <c r="G1412" s="362"/>
      <c r="H1412" s="743"/>
    </row>
    <row r="1413" spans="1:8">
      <c r="A1413" s="330"/>
      <c r="B1413" s="730"/>
      <c r="C1413" s="731"/>
      <c r="D1413" s="731"/>
      <c r="E1413" s="731"/>
      <c r="F1413" s="343"/>
      <c r="G1413" s="362"/>
      <c r="H1413" s="743"/>
    </row>
    <row r="1414" spans="1:8">
      <c r="A1414" s="330"/>
      <c r="B1414" s="363"/>
      <c r="C1414" s="343"/>
      <c r="D1414" s="343"/>
      <c r="E1414" s="343"/>
      <c r="F1414" s="343"/>
      <c r="G1414" s="362"/>
      <c r="H1414" s="344"/>
    </row>
    <row r="1415" spans="1:8">
      <c r="A1415" s="330"/>
      <c r="B1415" s="364"/>
      <c r="C1415" s="332"/>
      <c r="D1415" s="332"/>
      <c r="E1415" s="332"/>
      <c r="F1415" s="332"/>
      <c r="G1415" s="365"/>
      <c r="H1415" s="332"/>
    </row>
    <row r="1416" spans="1:8">
      <c r="A1416" s="330"/>
      <c r="B1416" s="737"/>
      <c r="C1416" s="738"/>
      <c r="D1416" s="738"/>
      <c r="E1416" s="738"/>
      <c r="F1416" s="331"/>
      <c r="G1416" s="355"/>
      <c r="H1416" s="345"/>
    </row>
    <row r="1417" spans="1:8">
      <c r="A1417" s="330"/>
      <c r="B1417" s="737"/>
      <c r="C1417" s="738"/>
      <c r="D1417" s="738"/>
      <c r="E1417" s="738"/>
      <c r="F1417" s="331"/>
      <c r="G1417" s="355"/>
      <c r="H1417" s="345"/>
    </row>
    <row r="1418" spans="1:8">
      <c r="A1418" s="330"/>
      <c r="B1418" s="354" t="s">
        <v>775</v>
      </c>
      <c r="C1418" s="331"/>
      <c r="D1418" s="331"/>
      <c r="E1418" s="331"/>
      <c r="F1418" s="331"/>
      <c r="G1418" s="355"/>
      <c r="H1418" s="345"/>
    </row>
    <row r="1419" spans="1:8">
      <c r="A1419" s="330"/>
      <c r="B1419" s="737"/>
      <c r="C1419" s="738"/>
      <c r="D1419" s="738"/>
      <c r="E1419" s="738"/>
      <c r="F1419" s="331"/>
      <c r="G1419" s="355"/>
      <c r="H1419" s="345"/>
    </row>
    <row r="1420" spans="1:8" ht="27.75">
      <c r="A1420" s="330"/>
      <c r="B1420" s="373"/>
      <c r="C1420" s="341"/>
      <c r="D1420" s="739" t="s">
        <v>762</v>
      </c>
      <c r="E1420" s="739"/>
      <c r="F1420" s="330"/>
      <c r="G1420" s="366"/>
      <c r="H1420" s="339"/>
    </row>
    <row r="1421" spans="1:8">
      <c r="A1421" s="330"/>
      <c r="B1421" s="356"/>
      <c r="G1421" s="357"/>
    </row>
    <row r="1422" spans="1:8">
      <c r="A1422" s="330"/>
      <c r="B1422" s="373"/>
      <c r="C1422" s="341"/>
      <c r="D1422" s="733"/>
      <c r="E1422" s="733"/>
      <c r="F1422" s="332"/>
      <c r="G1422" s="365"/>
      <c r="H1422" s="339"/>
    </row>
    <row r="1423" spans="1:8">
      <c r="A1423" s="330"/>
      <c r="B1423" s="356"/>
      <c r="D1423" s="733" t="s">
        <v>801</v>
      </c>
      <c r="E1423" s="733"/>
      <c r="G1423" s="357"/>
    </row>
    <row r="1424" spans="1:8">
      <c r="A1424" s="330"/>
      <c r="B1424" s="730"/>
      <c r="C1424" s="731"/>
      <c r="D1424" s="731"/>
      <c r="E1424" s="338"/>
      <c r="F1424" s="338"/>
      <c r="G1424" s="361"/>
      <c r="H1424" s="331"/>
    </row>
    <row r="1425" spans="1:8">
      <c r="A1425" s="330"/>
      <c r="B1425" s="730"/>
      <c r="C1425" s="731"/>
      <c r="D1425" s="731"/>
      <c r="E1425" s="338"/>
      <c r="F1425" s="338"/>
      <c r="G1425" s="361"/>
      <c r="H1425" s="331"/>
    </row>
    <row r="1426" spans="1:8">
      <c r="A1426" s="330"/>
      <c r="B1426" s="356"/>
      <c r="D1426" s="732" t="s">
        <v>806</v>
      </c>
      <c r="E1426" s="732"/>
      <c r="F1426" s="338"/>
      <c r="G1426" s="361"/>
    </row>
    <row r="1427" spans="1:8">
      <c r="A1427" s="330"/>
      <c r="B1427" s="354"/>
      <c r="C1427" s="331"/>
      <c r="D1427" s="331"/>
      <c r="E1427" s="338"/>
      <c r="F1427" s="338"/>
      <c r="G1427" s="361"/>
      <c r="H1427" s="331"/>
    </row>
    <row r="1428" spans="1:8">
      <c r="A1428" s="330"/>
      <c r="B1428" s="354"/>
      <c r="C1428" s="331"/>
      <c r="D1428" s="733" t="s">
        <v>802</v>
      </c>
      <c r="E1428" s="733"/>
      <c r="F1428" s="338"/>
      <c r="G1428" s="361"/>
      <c r="H1428" s="331"/>
    </row>
    <row r="1429" spans="1:8">
      <c r="A1429" s="330"/>
      <c r="B1429" s="354"/>
      <c r="C1429" s="331"/>
      <c r="D1429" s="734" t="s">
        <v>807</v>
      </c>
      <c r="E1429" s="734"/>
      <c r="F1429" s="338"/>
      <c r="G1429" s="361"/>
      <c r="H1429" s="331"/>
    </row>
    <row r="1430" spans="1:8">
      <c r="A1430" s="330"/>
      <c r="B1430" s="735"/>
      <c r="C1430" s="736"/>
      <c r="D1430" s="736"/>
      <c r="E1430" s="338"/>
      <c r="F1430" s="338"/>
      <c r="G1430" s="361"/>
    </row>
    <row r="1431" spans="1:8">
      <c r="A1431" s="330"/>
      <c r="B1431" s="735"/>
      <c r="C1431" s="736"/>
      <c r="D1431" s="736"/>
      <c r="E1431" s="338"/>
      <c r="F1431" s="338"/>
      <c r="G1431" s="361"/>
    </row>
    <row r="1432" spans="1:8">
      <c r="A1432" s="330"/>
      <c r="B1432" s="354"/>
      <c r="C1432" s="331"/>
      <c r="E1432" s="338"/>
      <c r="F1432" s="338"/>
      <c r="G1432" s="361"/>
    </row>
    <row r="1433" spans="1:8">
      <c r="A1433" s="330"/>
      <c r="B1433" s="737"/>
      <c r="C1433" s="738"/>
      <c r="D1433" s="738"/>
      <c r="E1433" s="338"/>
      <c r="F1433" s="338"/>
      <c r="G1433" s="361"/>
      <c r="H1433" s="331"/>
    </row>
    <row r="1434" spans="1:8">
      <c r="A1434" s="330"/>
      <c r="B1434" s="356"/>
      <c r="E1434" s="338"/>
      <c r="F1434" s="338"/>
      <c r="G1434" s="361"/>
    </row>
    <row r="1435" spans="1:8">
      <c r="A1435" s="330"/>
      <c r="B1435" s="356"/>
      <c r="E1435" s="338"/>
      <c r="F1435" s="338"/>
      <c r="G1435" s="361"/>
    </row>
    <row r="1436" spans="1:8">
      <c r="A1436" s="330"/>
      <c r="B1436" s="356"/>
      <c r="E1436" s="338"/>
      <c r="F1436" s="338"/>
      <c r="G1436" s="361"/>
      <c r="H1436" s="350"/>
    </row>
    <row r="1437" spans="1:8">
      <c r="A1437" s="330"/>
      <c r="B1437" s="356"/>
      <c r="E1437" s="338"/>
      <c r="F1437" s="338"/>
      <c r="G1437" s="361"/>
    </row>
    <row r="1438" spans="1:8">
      <c r="A1438" s="330"/>
      <c r="B1438" s="744"/>
      <c r="C1438" s="745"/>
      <c r="D1438" s="746"/>
      <c r="E1438" s="338"/>
      <c r="F1438" s="338"/>
      <c r="G1438" s="361"/>
      <c r="H1438" s="331"/>
    </row>
    <row r="1439" spans="1:8">
      <c r="A1439" s="330"/>
      <c r="B1439" s="356"/>
      <c r="D1439" s="357"/>
      <c r="E1439" s="338"/>
      <c r="F1439" s="338"/>
      <c r="G1439" s="361"/>
    </row>
    <row r="1440" spans="1:8">
      <c r="A1440" s="330"/>
      <c r="B1440" s="356"/>
      <c r="D1440" s="367" t="s">
        <v>797</v>
      </c>
      <c r="E1440" s="338"/>
      <c r="F1440" s="338"/>
      <c r="G1440" s="361"/>
    </row>
    <row r="1441" spans="1:8">
      <c r="A1441" s="330"/>
      <c r="B1441" s="356"/>
      <c r="D1441" s="357" t="s">
        <v>798</v>
      </c>
      <c r="E1441" s="338"/>
      <c r="F1441" s="338"/>
      <c r="G1441" s="361"/>
      <c r="H1441" s="351"/>
    </row>
    <row r="1442" spans="1:8">
      <c r="A1442" s="330"/>
      <c r="B1442" s="354"/>
      <c r="C1442" s="331"/>
      <c r="D1442" s="355" t="s">
        <v>799</v>
      </c>
      <c r="E1442" s="338"/>
      <c r="F1442" s="338"/>
      <c r="G1442" s="361"/>
      <c r="H1442" s="331"/>
    </row>
    <row r="1443" spans="1:8">
      <c r="A1443" s="330"/>
      <c r="B1443" s="354"/>
      <c r="C1443" s="331"/>
      <c r="D1443" s="355" t="s">
        <v>800</v>
      </c>
      <c r="E1443" s="338"/>
      <c r="F1443" s="338"/>
      <c r="G1443" s="361"/>
      <c r="H1443" s="331"/>
    </row>
    <row r="1444" spans="1:8">
      <c r="A1444" s="330"/>
      <c r="B1444" s="354"/>
      <c r="C1444" s="331"/>
      <c r="D1444" s="355"/>
      <c r="E1444" s="338"/>
      <c r="F1444" s="338"/>
      <c r="G1444" s="361"/>
      <c r="H1444" s="331"/>
    </row>
    <row r="1445" spans="1:8">
      <c r="A1445" s="330"/>
      <c r="B1445" s="354"/>
      <c r="C1445" s="331"/>
      <c r="D1445" s="355"/>
      <c r="E1445" s="338"/>
      <c r="F1445" s="338"/>
      <c r="G1445" s="361"/>
      <c r="H1445" s="331"/>
    </row>
    <row r="1446" spans="1:8">
      <c r="A1446" s="330"/>
      <c r="B1446" s="368"/>
      <c r="C1446" s="369"/>
      <c r="D1446" s="370"/>
      <c r="E1446" s="371"/>
      <c r="F1446" s="371"/>
      <c r="G1446" s="372"/>
      <c r="H1446" s="331"/>
    </row>
    <row r="1447" spans="1:8">
      <c r="A1447" s="330"/>
      <c r="E1447" s="338"/>
      <c r="F1447" s="338"/>
      <c r="G1447" s="338"/>
      <c r="H1447" s="345"/>
    </row>
    <row r="1449" spans="1:8">
      <c r="A1449" s="329"/>
      <c r="E1449" s="338"/>
      <c r="F1449" s="338"/>
      <c r="G1449" s="338"/>
    </row>
    <row r="1450" spans="1:8">
      <c r="A1450" s="330"/>
      <c r="B1450" s="748"/>
      <c r="C1450" s="749"/>
      <c r="D1450" s="749"/>
      <c r="E1450" s="749"/>
      <c r="F1450" s="352"/>
      <c r="G1450" s="353"/>
      <c r="H1450" s="332"/>
    </row>
    <row r="1451" spans="1:8">
      <c r="A1451" s="330"/>
      <c r="B1451" s="354"/>
      <c r="C1451" s="331"/>
      <c r="D1451" s="331"/>
      <c r="E1451" s="331"/>
      <c r="F1451" s="331"/>
      <c r="G1451" s="355"/>
      <c r="H1451" s="331"/>
    </row>
    <row r="1452" spans="1:8">
      <c r="A1452" s="330"/>
      <c r="B1452" s="354"/>
      <c r="C1452" s="331"/>
      <c r="D1452" s="331"/>
      <c r="E1452" s="331"/>
      <c r="F1452" s="331"/>
      <c r="G1452" s="355"/>
      <c r="H1452" s="331"/>
    </row>
    <row r="1453" spans="1:8">
      <c r="A1453" s="330"/>
      <c r="B1453" s="737"/>
      <c r="C1453" s="738"/>
      <c r="D1453" s="738"/>
      <c r="E1453" s="738"/>
      <c r="F1453" s="331"/>
      <c r="G1453" s="355"/>
      <c r="H1453" s="331"/>
    </row>
    <row r="1454" spans="1:8">
      <c r="A1454" s="330"/>
      <c r="B1454" s="354"/>
      <c r="C1454" s="331"/>
      <c r="D1454" s="331"/>
      <c r="E1454" s="331"/>
      <c r="F1454" s="331"/>
      <c r="G1454" s="355"/>
      <c r="H1454" s="331"/>
    </row>
    <row r="1455" spans="1:8">
      <c r="A1455" s="330"/>
      <c r="B1455" s="354"/>
      <c r="C1455" s="331"/>
      <c r="D1455" s="331"/>
      <c r="E1455" s="331"/>
      <c r="F1455" s="331"/>
      <c r="G1455" s="355"/>
      <c r="H1455" s="331"/>
    </row>
    <row r="1456" spans="1:8" ht="15.75" customHeight="1">
      <c r="A1456" s="330"/>
      <c r="B1456" s="354"/>
      <c r="C1456" s="331"/>
      <c r="D1456" s="751" t="s">
        <v>1942</v>
      </c>
      <c r="E1456" s="751"/>
      <c r="F1456" s="331"/>
      <c r="G1456" s="355"/>
      <c r="H1456" s="331"/>
    </row>
    <row r="1457" spans="1:8" ht="15.75" customHeight="1">
      <c r="A1457" s="330"/>
      <c r="B1457" s="356"/>
      <c r="D1457" s="751"/>
      <c r="E1457" s="751"/>
      <c r="F1457" s="331"/>
      <c r="G1457" s="355"/>
      <c r="H1457" s="331"/>
    </row>
    <row r="1458" spans="1:8" ht="15.75" customHeight="1">
      <c r="A1458" s="330"/>
      <c r="B1458" s="354"/>
      <c r="C1458" s="331"/>
      <c r="D1458" s="751"/>
      <c r="E1458" s="751"/>
      <c r="F1458" s="331"/>
      <c r="G1458" s="355"/>
      <c r="H1458" s="331"/>
    </row>
    <row r="1459" spans="1:8" ht="15.75" customHeight="1">
      <c r="A1459" s="330"/>
      <c r="B1459" s="354"/>
      <c r="C1459" s="331"/>
      <c r="D1459" s="751"/>
      <c r="E1459" s="751"/>
      <c r="F1459" s="331"/>
      <c r="G1459" s="355"/>
      <c r="H1459" s="331"/>
    </row>
    <row r="1460" spans="1:8" ht="15.75" customHeight="1">
      <c r="A1460" s="330"/>
      <c r="B1460" s="354"/>
      <c r="C1460" s="331"/>
      <c r="D1460" s="751"/>
      <c r="E1460" s="751"/>
      <c r="F1460" s="331"/>
      <c r="G1460" s="355"/>
      <c r="H1460" s="331"/>
    </row>
    <row r="1461" spans="1:8" ht="15.75" customHeight="1">
      <c r="A1461" s="330"/>
      <c r="B1461" s="354"/>
      <c r="C1461" s="331"/>
      <c r="D1461" s="751"/>
      <c r="E1461" s="751"/>
      <c r="F1461" s="331"/>
      <c r="G1461" s="355"/>
      <c r="H1461" s="331"/>
    </row>
    <row r="1462" spans="1:8" ht="15.75" customHeight="1">
      <c r="A1462" s="330"/>
      <c r="B1462" s="354"/>
      <c r="C1462" s="331"/>
      <c r="D1462" s="751"/>
      <c r="E1462" s="751"/>
      <c r="F1462" s="331"/>
      <c r="G1462" s="355"/>
      <c r="H1462" s="331"/>
    </row>
    <row r="1463" spans="1:8" ht="15.75" customHeight="1">
      <c r="A1463" s="330"/>
      <c r="B1463" s="354"/>
      <c r="C1463" s="331"/>
      <c r="D1463" s="751"/>
      <c r="E1463" s="751"/>
      <c r="F1463" s="331"/>
      <c r="G1463" s="355"/>
      <c r="H1463" s="331"/>
    </row>
    <row r="1464" spans="1:8">
      <c r="A1464" s="330"/>
      <c r="B1464" s="356"/>
      <c r="D1464" s="751"/>
      <c r="E1464" s="751"/>
      <c r="F1464" s="331"/>
      <c r="G1464" s="355"/>
      <c r="H1464" s="331"/>
    </row>
    <row r="1465" spans="1:8">
      <c r="A1465" s="330"/>
      <c r="B1465" s="354"/>
      <c r="C1465" s="331"/>
      <c r="D1465" s="751"/>
      <c r="E1465" s="751"/>
      <c r="F1465" s="331"/>
      <c r="G1465" s="355"/>
      <c r="H1465" s="331"/>
    </row>
    <row r="1466" spans="1:8">
      <c r="A1466" s="330"/>
      <c r="B1466" s="354"/>
      <c r="C1466" s="331"/>
      <c r="D1466" s="751"/>
      <c r="E1466" s="751"/>
      <c r="F1466" s="331"/>
      <c r="G1466" s="355"/>
      <c r="H1466" s="333"/>
    </row>
    <row r="1467" spans="1:8">
      <c r="A1467" s="330"/>
      <c r="B1467" s="354"/>
      <c r="C1467" s="331"/>
      <c r="D1467" s="751"/>
      <c r="E1467" s="751"/>
      <c r="F1467" s="331"/>
      <c r="G1467" s="355"/>
      <c r="H1467" s="333"/>
    </row>
    <row r="1468" spans="1:8">
      <c r="A1468" s="330"/>
      <c r="B1468" s="354"/>
      <c r="C1468" s="331"/>
      <c r="D1468" s="751"/>
      <c r="E1468" s="751"/>
      <c r="F1468" s="331"/>
      <c r="G1468" s="355"/>
      <c r="H1468" s="333"/>
    </row>
    <row r="1469" spans="1:8">
      <c r="A1469" s="330"/>
      <c r="B1469" s="354"/>
      <c r="C1469" s="331"/>
      <c r="D1469" s="751"/>
      <c r="E1469" s="751"/>
      <c r="F1469" s="331"/>
      <c r="G1469" s="355"/>
      <c r="H1469" s="333"/>
    </row>
    <row r="1470" spans="1:8">
      <c r="A1470" s="330"/>
      <c r="B1470" s="356"/>
      <c r="G1470" s="357"/>
      <c r="H1470" s="333"/>
    </row>
    <row r="1471" spans="1:8">
      <c r="A1471" s="337"/>
      <c r="B1471" s="752"/>
      <c r="C1471" s="753"/>
      <c r="D1471" s="753"/>
      <c r="E1471" s="753"/>
      <c r="F1471" s="358"/>
      <c r="G1471" s="359"/>
      <c r="H1471" s="360"/>
    </row>
    <row r="1472" spans="1:8">
      <c r="A1472" s="330"/>
      <c r="B1472" s="356"/>
      <c r="G1472" s="357"/>
    </row>
    <row r="1473" spans="1:8">
      <c r="A1473" s="330"/>
      <c r="B1473" s="354"/>
      <c r="C1473" s="331"/>
      <c r="D1473" s="331"/>
      <c r="E1473" s="338"/>
      <c r="F1473" s="338"/>
      <c r="G1473" s="361"/>
      <c r="H1473" s="339"/>
    </row>
    <row r="1474" spans="1:8">
      <c r="A1474" s="330"/>
      <c r="B1474" s="730"/>
      <c r="C1474" s="731"/>
      <c r="D1474" s="731"/>
      <c r="E1474" s="731"/>
      <c r="F1474" s="343"/>
      <c r="G1474" s="362"/>
      <c r="H1474" s="743"/>
    </row>
    <row r="1475" spans="1:8">
      <c r="A1475" s="330"/>
      <c r="B1475" s="730"/>
      <c r="C1475" s="731"/>
      <c r="D1475" s="731"/>
      <c r="E1475" s="731"/>
      <c r="F1475" s="343"/>
      <c r="G1475" s="362"/>
      <c r="H1475" s="743"/>
    </row>
    <row r="1476" spans="1:8">
      <c r="A1476" s="330"/>
      <c r="B1476" s="363"/>
      <c r="C1476" s="343"/>
      <c r="D1476" s="343"/>
      <c r="E1476" s="343"/>
      <c r="F1476" s="343"/>
      <c r="G1476" s="362"/>
      <c r="H1476" s="344"/>
    </row>
    <row r="1477" spans="1:8">
      <c r="A1477" s="330"/>
      <c r="B1477" s="364"/>
      <c r="C1477" s="332"/>
      <c r="D1477" s="332"/>
      <c r="E1477" s="332"/>
      <c r="F1477" s="332"/>
      <c r="G1477" s="365"/>
      <c r="H1477" s="332"/>
    </row>
    <row r="1478" spans="1:8">
      <c r="A1478" s="330"/>
      <c r="B1478" s="737"/>
      <c r="C1478" s="738"/>
      <c r="D1478" s="738"/>
      <c r="E1478" s="738"/>
      <c r="F1478" s="331"/>
      <c r="G1478" s="355"/>
      <c r="H1478" s="345"/>
    </row>
    <row r="1479" spans="1:8">
      <c r="A1479" s="330"/>
      <c r="B1479" s="737"/>
      <c r="C1479" s="738"/>
      <c r="D1479" s="738"/>
      <c r="E1479" s="738"/>
      <c r="F1479" s="331"/>
      <c r="G1479" s="355"/>
      <c r="H1479" s="345"/>
    </row>
    <row r="1480" spans="1:8">
      <c r="A1480" s="330"/>
      <c r="B1480" s="354" t="s">
        <v>775</v>
      </c>
      <c r="C1480" s="331"/>
      <c r="D1480" s="331"/>
      <c r="E1480" s="331"/>
      <c r="F1480" s="331"/>
      <c r="G1480" s="355"/>
      <c r="H1480" s="345"/>
    </row>
    <row r="1481" spans="1:8">
      <c r="A1481" s="330"/>
      <c r="B1481" s="737"/>
      <c r="C1481" s="738"/>
      <c r="D1481" s="738"/>
      <c r="E1481" s="738"/>
      <c r="F1481" s="331"/>
      <c r="G1481" s="355"/>
      <c r="H1481" s="345"/>
    </row>
    <row r="1482" spans="1:8" ht="27.75">
      <c r="A1482" s="330"/>
      <c r="B1482" s="373"/>
      <c r="C1482" s="341"/>
      <c r="D1482" s="739" t="s">
        <v>762</v>
      </c>
      <c r="E1482" s="739"/>
      <c r="F1482" s="330"/>
      <c r="G1482" s="366"/>
      <c r="H1482" s="339"/>
    </row>
    <row r="1483" spans="1:8">
      <c r="A1483" s="330"/>
      <c r="B1483" s="356"/>
      <c r="G1483" s="357"/>
    </row>
    <row r="1484" spans="1:8">
      <c r="A1484" s="330"/>
      <c r="B1484" s="373"/>
      <c r="C1484" s="341"/>
      <c r="D1484" s="733"/>
      <c r="E1484" s="733"/>
      <c r="F1484" s="332"/>
      <c r="G1484" s="365"/>
      <c r="H1484" s="339"/>
    </row>
    <row r="1485" spans="1:8">
      <c r="A1485" s="330"/>
      <c r="B1485" s="356"/>
      <c r="D1485" s="733" t="s">
        <v>801</v>
      </c>
      <c r="E1485" s="733"/>
      <c r="G1485" s="357"/>
    </row>
    <row r="1486" spans="1:8">
      <c r="A1486" s="330"/>
      <c r="B1486" s="730"/>
      <c r="C1486" s="731"/>
      <c r="D1486" s="731"/>
      <c r="E1486" s="338"/>
      <c r="F1486" s="338"/>
      <c r="G1486" s="361"/>
      <c r="H1486" s="331"/>
    </row>
    <row r="1487" spans="1:8">
      <c r="A1487" s="330"/>
      <c r="B1487" s="730"/>
      <c r="C1487" s="731"/>
      <c r="D1487" s="731"/>
      <c r="E1487" s="338"/>
      <c r="F1487" s="338"/>
      <c r="G1487" s="361"/>
      <c r="H1487" s="331"/>
    </row>
    <row r="1488" spans="1:8">
      <c r="A1488" s="330"/>
      <c r="B1488" s="356"/>
      <c r="D1488" s="732" t="s">
        <v>806</v>
      </c>
      <c r="E1488" s="732"/>
      <c r="F1488" s="338"/>
      <c r="G1488" s="361"/>
    </row>
    <row r="1489" spans="1:8">
      <c r="A1489" s="330"/>
      <c r="B1489" s="354"/>
      <c r="C1489" s="331"/>
      <c r="D1489" s="331"/>
      <c r="E1489" s="338"/>
      <c r="F1489" s="338"/>
      <c r="G1489" s="361"/>
      <c r="H1489" s="331"/>
    </row>
    <row r="1490" spans="1:8">
      <c r="A1490" s="330"/>
      <c r="B1490" s="354"/>
      <c r="C1490" s="331"/>
      <c r="D1490" s="733" t="s">
        <v>802</v>
      </c>
      <c r="E1490" s="733"/>
      <c r="F1490" s="338"/>
      <c r="G1490" s="361"/>
      <c r="H1490" s="331"/>
    </row>
    <row r="1491" spans="1:8">
      <c r="A1491" s="330"/>
      <c r="B1491" s="354"/>
      <c r="C1491" s="331"/>
      <c r="D1491" s="734" t="s">
        <v>807</v>
      </c>
      <c r="E1491" s="734"/>
      <c r="F1491" s="338"/>
      <c r="G1491" s="361"/>
      <c r="H1491" s="331"/>
    </row>
    <row r="1492" spans="1:8">
      <c r="A1492" s="330"/>
      <c r="B1492" s="735"/>
      <c r="C1492" s="736"/>
      <c r="D1492" s="736"/>
      <c r="E1492" s="338"/>
      <c r="F1492" s="338"/>
      <c r="G1492" s="361"/>
    </row>
    <row r="1493" spans="1:8">
      <c r="A1493" s="330"/>
      <c r="B1493" s="735"/>
      <c r="C1493" s="736"/>
      <c r="D1493" s="736"/>
      <c r="E1493" s="338"/>
      <c r="F1493" s="338"/>
      <c r="G1493" s="361"/>
    </row>
    <row r="1494" spans="1:8">
      <c r="A1494" s="330"/>
      <c r="B1494" s="354"/>
      <c r="C1494" s="331"/>
      <c r="E1494" s="338"/>
      <c r="F1494" s="338"/>
      <c r="G1494" s="361"/>
    </row>
    <row r="1495" spans="1:8">
      <c r="A1495" s="330"/>
      <c r="B1495" s="737"/>
      <c r="C1495" s="738"/>
      <c r="D1495" s="738"/>
      <c r="E1495" s="338"/>
      <c r="F1495" s="338"/>
      <c r="G1495" s="361"/>
      <c r="H1495" s="331"/>
    </row>
    <row r="1496" spans="1:8">
      <c r="A1496" s="330"/>
      <c r="B1496" s="356"/>
      <c r="E1496" s="338"/>
      <c r="F1496" s="338"/>
      <c r="G1496" s="361"/>
    </row>
    <row r="1497" spans="1:8">
      <c r="A1497" s="330"/>
      <c r="B1497" s="356"/>
      <c r="E1497" s="338"/>
      <c r="F1497" s="338"/>
      <c r="G1497" s="361"/>
    </row>
    <row r="1498" spans="1:8">
      <c r="A1498" s="330"/>
      <c r="B1498" s="356"/>
      <c r="E1498" s="338"/>
      <c r="F1498" s="338"/>
      <c r="G1498" s="361"/>
      <c r="H1498" s="350"/>
    </row>
    <row r="1499" spans="1:8">
      <c r="A1499" s="330"/>
      <c r="B1499" s="356"/>
      <c r="E1499" s="338"/>
      <c r="F1499" s="338"/>
      <c r="G1499" s="361"/>
    </row>
    <row r="1500" spans="1:8">
      <c r="A1500" s="330"/>
      <c r="B1500" s="744"/>
      <c r="C1500" s="745"/>
      <c r="D1500" s="746"/>
      <c r="E1500" s="338"/>
      <c r="F1500" s="338"/>
      <c r="G1500" s="361"/>
      <c r="H1500" s="331"/>
    </row>
    <row r="1501" spans="1:8">
      <c r="A1501" s="330"/>
      <c r="B1501" s="356"/>
      <c r="D1501" s="357"/>
      <c r="E1501" s="338"/>
      <c r="F1501" s="338"/>
      <c r="G1501" s="361"/>
    </row>
    <row r="1502" spans="1:8">
      <c r="A1502" s="330"/>
      <c r="B1502" s="356"/>
      <c r="D1502" s="367" t="s">
        <v>797</v>
      </c>
      <c r="E1502" s="338"/>
      <c r="F1502" s="338"/>
      <c r="G1502" s="361"/>
    </row>
    <row r="1503" spans="1:8">
      <c r="A1503" s="330"/>
      <c r="B1503" s="356"/>
      <c r="D1503" s="357" t="s">
        <v>798</v>
      </c>
      <c r="E1503" s="338"/>
      <c r="F1503" s="338"/>
      <c r="G1503" s="361"/>
      <c r="H1503" s="351"/>
    </row>
    <row r="1504" spans="1:8">
      <c r="A1504" s="330"/>
      <c r="B1504" s="354"/>
      <c r="C1504" s="331"/>
      <c r="D1504" s="355" t="s">
        <v>799</v>
      </c>
      <c r="E1504" s="338"/>
      <c r="F1504" s="338"/>
      <c r="G1504" s="361"/>
      <c r="H1504" s="331"/>
    </row>
    <row r="1505" spans="1:8">
      <c r="A1505" s="330"/>
      <c r="B1505" s="354"/>
      <c r="C1505" s="331"/>
      <c r="D1505" s="355" t="s">
        <v>800</v>
      </c>
      <c r="E1505" s="338"/>
      <c r="F1505" s="338"/>
      <c r="G1505" s="361"/>
      <c r="H1505" s="331"/>
    </row>
    <row r="1506" spans="1:8">
      <c r="A1506" s="330"/>
      <c r="B1506" s="354"/>
      <c r="C1506" s="331"/>
      <c r="D1506" s="355"/>
      <c r="E1506" s="338"/>
      <c r="F1506" s="338"/>
      <c r="G1506" s="361"/>
      <c r="H1506" s="331"/>
    </row>
    <row r="1507" spans="1:8">
      <c r="A1507" s="330"/>
      <c r="B1507" s="354"/>
      <c r="C1507" s="331"/>
      <c r="D1507" s="355"/>
      <c r="E1507" s="338"/>
      <c r="F1507" s="338"/>
      <c r="G1507" s="361"/>
      <c r="H1507" s="331"/>
    </row>
    <row r="1508" spans="1:8">
      <c r="A1508" s="330"/>
      <c r="B1508" s="368"/>
      <c r="C1508" s="369"/>
      <c r="D1508" s="370"/>
      <c r="E1508" s="371"/>
      <c r="F1508" s="371"/>
      <c r="G1508" s="372"/>
      <c r="H1508" s="331"/>
    </row>
    <row r="1509" spans="1:8">
      <c r="A1509" s="330"/>
      <c r="E1509" s="338"/>
      <c r="F1509" s="338"/>
      <c r="G1509" s="338"/>
      <c r="H1509" s="345"/>
    </row>
    <row r="1511" spans="1:8">
      <c r="A1511" s="329"/>
      <c r="E1511" s="338"/>
      <c r="F1511" s="338"/>
      <c r="G1511" s="338"/>
    </row>
    <row r="1512" spans="1:8">
      <c r="A1512" s="330"/>
      <c r="B1512" s="748"/>
      <c r="C1512" s="749"/>
      <c r="D1512" s="749"/>
      <c r="E1512" s="749"/>
      <c r="F1512" s="352"/>
      <c r="G1512" s="353"/>
      <c r="H1512" s="332"/>
    </row>
    <row r="1513" spans="1:8">
      <c r="A1513" s="330"/>
      <c r="B1513" s="354"/>
      <c r="C1513" s="331"/>
      <c r="D1513" s="331"/>
      <c r="E1513" s="331"/>
      <c r="F1513" s="331"/>
      <c r="G1513" s="355"/>
      <c r="H1513" s="331"/>
    </row>
    <row r="1514" spans="1:8">
      <c r="A1514" s="330"/>
      <c r="B1514" s="354"/>
      <c r="C1514" s="331"/>
      <c r="D1514" s="331"/>
      <c r="E1514" s="331"/>
      <c r="F1514" s="331"/>
      <c r="G1514" s="355"/>
      <c r="H1514" s="331"/>
    </row>
    <row r="1515" spans="1:8">
      <c r="A1515" s="330"/>
      <c r="B1515" s="737"/>
      <c r="C1515" s="738"/>
      <c r="D1515" s="738"/>
      <c r="E1515" s="738"/>
      <c r="F1515" s="331"/>
      <c r="G1515" s="355"/>
      <c r="H1515" s="331"/>
    </row>
    <row r="1516" spans="1:8">
      <c r="A1516" s="330"/>
      <c r="B1516" s="354"/>
      <c r="C1516" s="331"/>
      <c r="D1516" s="331"/>
      <c r="E1516" s="331"/>
      <c r="F1516" s="331"/>
      <c r="G1516" s="355"/>
      <c r="H1516" s="331"/>
    </row>
    <row r="1517" spans="1:8">
      <c r="A1517" s="330"/>
      <c r="B1517" s="354"/>
      <c r="C1517" s="331"/>
      <c r="D1517" s="331"/>
      <c r="E1517" s="331"/>
      <c r="F1517" s="331"/>
      <c r="G1517" s="355"/>
      <c r="H1517" s="331"/>
    </row>
    <row r="1518" spans="1:8" ht="15.75" customHeight="1">
      <c r="A1518" s="330"/>
      <c r="B1518" s="354"/>
      <c r="C1518" s="331"/>
      <c r="D1518" s="751" t="s">
        <v>1943</v>
      </c>
      <c r="E1518" s="751"/>
      <c r="F1518" s="331"/>
      <c r="G1518" s="355"/>
      <c r="H1518" s="331"/>
    </row>
    <row r="1519" spans="1:8" ht="15.75" customHeight="1">
      <c r="A1519" s="330"/>
      <c r="B1519" s="356"/>
      <c r="D1519" s="751"/>
      <c r="E1519" s="751"/>
      <c r="F1519" s="331"/>
      <c r="G1519" s="355"/>
      <c r="H1519" s="331"/>
    </row>
    <row r="1520" spans="1:8" ht="15.75" customHeight="1">
      <c r="A1520" s="330"/>
      <c r="B1520" s="354"/>
      <c r="C1520" s="331"/>
      <c r="D1520" s="751"/>
      <c r="E1520" s="751"/>
      <c r="F1520" s="331"/>
      <c r="G1520" s="355"/>
      <c r="H1520" s="331"/>
    </row>
    <row r="1521" spans="1:8" ht="15.75" customHeight="1">
      <c r="A1521" s="330"/>
      <c r="B1521" s="354"/>
      <c r="C1521" s="331"/>
      <c r="D1521" s="751"/>
      <c r="E1521" s="751"/>
      <c r="F1521" s="331"/>
      <c r="G1521" s="355"/>
      <c r="H1521" s="331"/>
    </row>
    <row r="1522" spans="1:8" ht="15.75" customHeight="1">
      <c r="A1522" s="330"/>
      <c r="B1522" s="354"/>
      <c r="C1522" s="331"/>
      <c r="D1522" s="751"/>
      <c r="E1522" s="751"/>
      <c r="F1522" s="331"/>
      <c r="G1522" s="355"/>
      <c r="H1522" s="331"/>
    </row>
    <row r="1523" spans="1:8" ht="15.75" customHeight="1">
      <c r="A1523" s="330"/>
      <c r="B1523" s="354"/>
      <c r="C1523" s="331"/>
      <c r="D1523" s="751"/>
      <c r="E1523" s="751"/>
      <c r="F1523" s="331"/>
      <c r="G1523" s="355"/>
      <c r="H1523" s="331"/>
    </row>
    <row r="1524" spans="1:8" ht="15.75" customHeight="1">
      <c r="A1524" s="330"/>
      <c r="B1524" s="354"/>
      <c r="C1524" s="331"/>
      <c r="D1524" s="751"/>
      <c r="E1524" s="751"/>
      <c r="F1524" s="331"/>
      <c r="G1524" s="355"/>
      <c r="H1524" s="331"/>
    </row>
    <row r="1525" spans="1:8" ht="15.75" customHeight="1">
      <c r="A1525" s="330"/>
      <c r="B1525" s="354"/>
      <c r="C1525" s="331"/>
      <c r="D1525" s="751"/>
      <c r="E1525" s="751"/>
      <c r="F1525" s="331"/>
      <c r="G1525" s="355"/>
      <c r="H1525" s="331"/>
    </row>
    <row r="1526" spans="1:8">
      <c r="A1526" s="330"/>
      <c r="B1526" s="356"/>
      <c r="D1526" s="751"/>
      <c r="E1526" s="751"/>
      <c r="F1526" s="331"/>
      <c r="G1526" s="355"/>
      <c r="H1526" s="331"/>
    </row>
    <row r="1527" spans="1:8">
      <c r="A1527" s="330"/>
      <c r="B1527" s="354"/>
      <c r="C1527" s="331"/>
      <c r="D1527" s="751"/>
      <c r="E1527" s="751"/>
      <c r="F1527" s="331"/>
      <c r="G1527" s="355"/>
      <c r="H1527" s="331"/>
    </row>
    <row r="1528" spans="1:8">
      <c r="A1528" s="330"/>
      <c r="B1528" s="354"/>
      <c r="C1528" s="331"/>
      <c r="D1528" s="751"/>
      <c r="E1528" s="751"/>
      <c r="F1528" s="331"/>
      <c r="G1528" s="355"/>
      <c r="H1528" s="333"/>
    </row>
    <row r="1529" spans="1:8">
      <c r="A1529" s="330"/>
      <c r="B1529" s="354"/>
      <c r="C1529" s="331"/>
      <c r="D1529" s="751"/>
      <c r="E1529" s="751"/>
      <c r="F1529" s="331"/>
      <c r="G1529" s="355"/>
      <c r="H1529" s="333"/>
    </row>
    <row r="1530" spans="1:8">
      <c r="A1530" s="330"/>
      <c r="B1530" s="354"/>
      <c r="C1530" s="331"/>
      <c r="D1530" s="751"/>
      <c r="E1530" s="751"/>
      <c r="F1530" s="331"/>
      <c r="G1530" s="355"/>
      <c r="H1530" s="333"/>
    </row>
    <row r="1531" spans="1:8">
      <c r="A1531" s="330"/>
      <c r="B1531" s="354"/>
      <c r="C1531" s="331"/>
      <c r="D1531" s="751"/>
      <c r="E1531" s="751"/>
      <c r="F1531" s="331"/>
      <c r="G1531" s="355"/>
      <c r="H1531" s="333"/>
    </row>
    <row r="1532" spans="1:8">
      <c r="A1532" s="330"/>
      <c r="B1532" s="356"/>
      <c r="G1532" s="357"/>
      <c r="H1532" s="333"/>
    </row>
    <row r="1533" spans="1:8">
      <c r="A1533" s="337"/>
      <c r="B1533" s="752"/>
      <c r="C1533" s="753"/>
      <c r="D1533" s="753"/>
      <c r="E1533" s="753"/>
      <c r="F1533" s="358"/>
      <c r="G1533" s="359"/>
      <c r="H1533" s="360"/>
    </row>
    <row r="1534" spans="1:8">
      <c r="A1534" s="330"/>
      <c r="B1534" s="356"/>
      <c r="G1534" s="357"/>
    </row>
    <row r="1535" spans="1:8">
      <c r="A1535" s="330"/>
      <c r="B1535" s="354"/>
      <c r="C1535" s="331"/>
      <c r="D1535" s="331"/>
      <c r="E1535" s="338"/>
      <c r="F1535" s="338"/>
      <c r="G1535" s="361"/>
      <c r="H1535" s="339"/>
    </row>
    <row r="1536" spans="1:8">
      <c r="A1536" s="330"/>
      <c r="B1536" s="730"/>
      <c r="C1536" s="731"/>
      <c r="D1536" s="731"/>
      <c r="E1536" s="731"/>
      <c r="F1536" s="343"/>
      <c r="G1536" s="362"/>
      <c r="H1536" s="743"/>
    </row>
    <row r="1537" spans="1:8">
      <c r="A1537" s="330"/>
      <c r="B1537" s="730"/>
      <c r="C1537" s="731"/>
      <c r="D1537" s="731"/>
      <c r="E1537" s="731"/>
      <c r="F1537" s="343"/>
      <c r="G1537" s="362"/>
      <c r="H1537" s="743"/>
    </row>
    <row r="1538" spans="1:8">
      <c r="A1538" s="330"/>
      <c r="B1538" s="363"/>
      <c r="C1538" s="343"/>
      <c r="D1538" s="343"/>
      <c r="E1538" s="343"/>
      <c r="F1538" s="343"/>
      <c r="G1538" s="362"/>
      <c r="H1538" s="344"/>
    </row>
    <row r="1539" spans="1:8">
      <c r="A1539" s="330"/>
      <c r="B1539" s="364"/>
      <c r="C1539" s="332"/>
      <c r="D1539" s="332"/>
      <c r="E1539" s="332"/>
      <c r="F1539" s="332"/>
      <c r="G1539" s="365"/>
      <c r="H1539" s="332"/>
    </row>
    <row r="1540" spans="1:8">
      <c r="A1540" s="330"/>
      <c r="B1540" s="737"/>
      <c r="C1540" s="738"/>
      <c r="D1540" s="738"/>
      <c r="E1540" s="738"/>
      <c r="F1540" s="331"/>
      <c r="G1540" s="355"/>
      <c r="H1540" s="345"/>
    </row>
    <row r="1541" spans="1:8">
      <c r="A1541" s="330"/>
      <c r="B1541" s="737"/>
      <c r="C1541" s="738"/>
      <c r="D1541" s="738"/>
      <c r="E1541" s="738"/>
      <c r="F1541" s="331"/>
      <c r="G1541" s="355"/>
      <c r="H1541" s="345"/>
    </row>
    <row r="1542" spans="1:8">
      <c r="A1542" s="330"/>
      <c r="B1542" s="354" t="s">
        <v>775</v>
      </c>
      <c r="C1542" s="331"/>
      <c r="D1542" s="331"/>
      <c r="E1542" s="331"/>
      <c r="F1542" s="331"/>
      <c r="G1542" s="355"/>
      <c r="H1542" s="345"/>
    </row>
    <row r="1543" spans="1:8">
      <c r="A1543" s="330"/>
      <c r="B1543" s="737"/>
      <c r="C1543" s="738"/>
      <c r="D1543" s="738"/>
      <c r="E1543" s="738"/>
      <c r="F1543" s="331"/>
      <c r="G1543" s="355"/>
      <c r="H1543" s="345"/>
    </row>
    <row r="1544" spans="1:8" ht="27.75">
      <c r="A1544" s="330"/>
      <c r="B1544" s="373"/>
      <c r="C1544" s="341"/>
      <c r="D1544" s="739" t="s">
        <v>762</v>
      </c>
      <c r="E1544" s="739"/>
      <c r="F1544" s="330"/>
      <c r="G1544" s="366"/>
      <c r="H1544" s="339"/>
    </row>
    <row r="1545" spans="1:8">
      <c r="A1545" s="330"/>
      <c r="B1545" s="356"/>
      <c r="G1545" s="357"/>
    </row>
    <row r="1546" spans="1:8">
      <c r="A1546" s="330"/>
      <c r="B1546" s="373"/>
      <c r="C1546" s="341"/>
      <c r="D1546" s="733"/>
      <c r="E1546" s="733"/>
      <c r="F1546" s="332"/>
      <c r="G1546" s="365"/>
      <c r="H1546" s="339"/>
    </row>
    <row r="1547" spans="1:8">
      <c r="A1547" s="330"/>
      <c r="B1547" s="356"/>
      <c r="D1547" s="733" t="s">
        <v>801</v>
      </c>
      <c r="E1547" s="733"/>
      <c r="G1547" s="357"/>
    </row>
    <row r="1548" spans="1:8">
      <c r="A1548" s="330"/>
      <c r="B1548" s="730"/>
      <c r="C1548" s="731"/>
      <c r="D1548" s="731"/>
      <c r="E1548" s="338"/>
      <c r="F1548" s="338"/>
      <c r="G1548" s="361"/>
      <c r="H1548" s="331"/>
    </row>
    <row r="1549" spans="1:8">
      <c r="A1549" s="330"/>
      <c r="B1549" s="730"/>
      <c r="C1549" s="731"/>
      <c r="D1549" s="731"/>
      <c r="E1549" s="338"/>
      <c r="F1549" s="338"/>
      <c r="G1549" s="361"/>
      <c r="H1549" s="331"/>
    </row>
    <row r="1550" spans="1:8">
      <c r="A1550" s="330"/>
      <c r="B1550" s="356"/>
      <c r="D1550" s="732" t="s">
        <v>806</v>
      </c>
      <c r="E1550" s="732"/>
      <c r="F1550" s="338"/>
      <c r="G1550" s="361"/>
    </row>
    <row r="1551" spans="1:8">
      <c r="A1551" s="330"/>
      <c r="B1551" s="354"/>
      <c r="C1551" s="331"/>
      <c r="D1551" s="331"/>
      <c r="E1551" s="338"/>
      <c r="F1551" s="338"/>
      <c r="G1551" s="361"/>
      <c r="H1551" s="331"/>
    </row>
    <row r="1552" spans="1:8">
      <c r="A1552" s="330"/>
      <c r="B1552" s="354"/>
      <c r="C1552" s="331"/>
      <c r="D1552" s="733" t="s">
        <v>802</v>
      </c>
      <c r="E1552" s="733"/>
      <c r="F1552" s="338"/>
      <c r="G1552" s="361"/>
      <c r="H1552" s="331"/>
    </row>
    <row r="1553" spans="1:8">
      <c r="A1553" s="330"/>
      <c r="B1553" s="354"/>
      <c r="C1553" s="331"/>
      <c r="D1553" s="734" t="s">
        <v>807</v>
      </c>
      <c r="E1553" s="734"/>
      <c r="F1553" s="338"/>
      <c r="G1553" s="361"/>
      <c r="H1553" s="331"/>
    </row>
    <row r="1554" spans="1:8">
      <c r="A1554" s="330"/>
      <c r="B1554" s="735"/>
      <c r="C1554" s="736"/>
      <c r="D1554" s="736"/>
      <c r="E1554" s="338"/>
      <c r="F1554" s="338"/>
      <c r="G1554" s="361"/>
    </row>
    <row r="1555" spans="1:8">
      <c r="A1555" s="330"/>
      <c r="B1555" s="735"/>
      <c r="C1555" s="736"/>
      <c r="D1555" s="736"/>
      <c r="E1555" s="338"/>
      <c r="F1555" s="338"/>
      <c r="G1555" s="361"/>
    </row>
    <row r="1556" spans="1:8">
      <c r="A1556" s="330"/>
      <c r="B1556" s="354"/>
      <c r="C1556" s="331"/>
      <c r="E1556" s="338"/>
      <c r="F1556" s="338"/>
      <c r="G1556" s="361"/>
    </row>
    <row r="1557" spans="1:8">
      <c r="A1557" s="330"/>
      <c r="B1557" s="737"/>
      <c r="C1557" s="738"/>
      <c r="D1557" s="738"/>
      <c r="E1557" s="338"/>
      <c r="F1557" s="338"/>
      <c r="G1557" s="361"/>
      <c r="H1557" s="331"/>
    </row>
    <row r="1558" spans="1:8">
      <c r="A1558" s="330"/>
      <c r="B1558" s="356"/>
      <c r="E1558" s="338"/>
      <c r="F1558" s="338"/>
      <c r="G1558" s="361"/>
    </row>
    <row r="1559" spans="1:8">
      <c r="A1559" s="330"/>
      <c r="B1559" s="356"/>
      <c r="E1559" s="338"/>
      <c r="F1559" s="338"/>
      <c r="G1559" s="361"/>
    </row>
    <row r="1560" spans="1:8">
      <c r="A1560" s="330"/>
      <c r="B1560" s="356"/>
      <c r="E1560" s="338"/>
      <c r="F1560" s="338"/>
      <c r="G1560" s="361"/>
      <c r="H1560" s="350"/>
    </row>
    <row r="1561" spans="1:8">
      <c r="A1561" s="330"/>
      <c r="B1561" s="356"/>
      <c r="E1561" s="338"/>
      <c r="F1561" s="338"/>
      <c r="G1561" s="361"/>
    </row>
    <row r="1562" spans="1:8">
      <c r="A1562" s="330"/>
      <c r="B1562" s="744"/>
      <c r="C1562" s="745"/>
      <c r="D1562" s="746"/>
      <c r="E1562" s="338"/>
      <c r="F1562" s="338"/>
      <c r="G1562" s="361"/>
      <c r="H1562" s="331"/>
    </row>
    <row r="1563" spans="1:8">
      <c r="A1563" s="330"/>
      <c r="B1563" s="356"/>
      <c r="D1563" s="357"/>
      <c r="E1563" s="338"/>
      <c r="F1563" s="338"/>
      <c r="G1563" s="361"/>
    </row>
    <row r="1564" spans="1:8">
      <c r="A1564" s="330"/>
      <c r="B1564" s="356"/>
      <c r="D1564" s="367" t="s">
        <v>797</v>
      </c>
      <c r="E1564" s="338"/>
      <c r="F1564" s="338"/>
      <c r="G1564" s="361"/>
    </row>
    <row r="1565" spans="1:8">
      <c r="A1565" s="330"/>
      <c r="B1565" s="356"/>
      <c r="D1565" s="357" t="s">
        <v>798</v>
      </c>
      <c r="E1565" s="338"/>
      <c r="F1565" s="338"/>
      <c r="G1565" s="361"/>
      <c r="H1565" s="351"/>
    </row>
    <row r="1566" spans="1:8">
      <c r="A1566" s="330"/>
      <c r="B1566" s="354"/>
      <c r="C1566" s="331"/>
      <c r="D1566" s="355" t="s">
        <v>799</v>
      </c>
      <c r="E1566" s="338"/>
      <c r="F1566" s="338"/>
      <c r="G1566" s="361"/>
      <c r="H1566" s="331"/>
    </row>
    <row r="1567" spans="1:8">
      <c r="A1567" s="330"/>
      <c r="B1567" s="354"/>
      <c r="C1567" s="331"/>
      <c r="D1567" s="355" t="s">
        <v>800</v>
      </c>
      <c r="E1567" s="338"/>
      <c r="F1567" s="338"/>
      <c r="G1567" s="361"/>
      <c r="H1567" s="331"/>
    </row>
    <row r="1568" spans="1:8">
      <c r="A1568" s="330"/>
      <c r="B1568" s="354"/>
      <c r="C1568" s="331"/>
      <c r="D1568" s="355"/>
      <c r="E1568" s="338"/>
      <c r="F1568" s="338"/>
      <c r="G1568" s="361"/>
      <c r="H1568" s="331"/>
    </row>
    <row r="1569" spans="1:9">
      <c r="A1569" s="330"/>
      <c r="B1569" s="354"/>
      <c r="C1569" s="331"/>
      <c r="D1569" s="355"/>
      <c r="E1569" s="338"/>
      <c r="F1569" s="338"/>
      <c r="G1569" s="361"/>
      <c r="H1569" s="331"/>
    </row>
    <row r="1570" spans="1:9">
      <c r="A1570" s="330"/>
      <c r="B1570" s="368"/>
      <c r="C1570" s="369"/>
      <c r="D1570" s="370"/>
      <c r="E1570" s="371"/>
      <c r="F1570" s="371"/>
      <c r="G1570" s="372"/>
      <c r="H1570" s="331"/>
    </row>
    <row r="1571" spans="1:9">
      <c r="A1571" s="330"/>
      <c r="E1571" s="338"/>
      <c r="F1571" s="338"/>
      <c r="G1571" s="338"/>
      <c r="H1571" s="345"/>
    </row>
    <row r="1574" spans="1:9">
      <c r="A1574" s="329"/>
      <c r="E1574" s="338"/>
      <c r="F1574" s="338"/>
      <c r="G1574" s="338"/>
    </row>
    <row r="1575" spans="1:9">
      <c r="A1575" s="330"/>
      <c r="B1575" s="748"/>
      <c r="C1575" s="749"/>
      <c r="D1575" s="749"/>
      <c r="E1575" s="749"/>
      <c r="F1575" s="352"/>
      <c r="G1575" s="353"/>
      <c r="H1575" s="332"/>
    </row>
    <row r="1576" spans="1:9">
      <c r="A1576" s="330"/>
      <c r="B1576" s="354"/>
      <c r="C1576" s="331"/>
      <c r="D1576" s="331"/>
      <c r="E1576" s="331"/>
      <c r="F1576" s="331"/>
      <c r="G1576" s="355"/>
      <c r="H1576" s="331"/>
    </row>
    <row r="1577" spans="1:9">
      <c r="A1577" s="330"/>
      <c r="B1577" s="354"/>
      <c r="C1577" s="331"/>
      <c r="D1577" s="331"/>
      <c r="E1577" s="331"/>
      <c r="F1577" s="331"/>
      <c r="G1577" s="355"/>
      <c r="H1577" s="331"/>
    </row>
    <row r="1578" spans="1:9">
      <c r="A1578" s="330"/>
      <c r="B1578" s="737"/>
      <c r="C1578" s="738"/>
      <c r="D1578" s="738"/>
      <c r="E1578" s="738"/>
      <c r="F1578" s="331"/>
      <c r="G1578" s="355"/>
      <c r="H1578" s="331"/>
    </row>
    <row r="1579" spans="1:9">
      <c r="A1579" s="330"/>
      <c r="B1579" s="354"/>
      <c r="C1579" s="331"/>
      <c r="D1579" s="331"/>
      <c r="E1579" s="331"/>
      <c r="F1579" s="331"/>
      <c r="G1579" s="355"/>
      <c r="H1579" s="331"/>
    </row>
    <row r="1580" spans="1:9">
      <c r="A1580" s="330"/>
      <c r="B1580" s="354"/>
      <c r="C1580" s="331"/>
      <c r="D1580" s="331"/>
      <c r="E1580" s="331"/>
      <c r="F1580" s="331"/>
      <c r="G1580" s="355"/>
      <c r="H1580" s="331"/>
    </row>
    <row r="1581" spans="1:9" ht="15.75" customHeight="1">
      <c r="A1581" s="330"/>
      <c r="B1581" s="354"/>
      <c r="C1581" s="331"/>
      <c r="D1581" s="751" t="s">
        <v>1945</v>
      </c>
      <c r="E1581" s="751"/>
      <c r="F1581" s="331"/>
      <c r="G1581" s="355"/>
      <c r="H1581" s="331"/>
    </row>
    <row r="1582" spans="1:9" ht="15.75" customHeight="1">
      <c r="A1582" s="330"/>
      <c r="B1582" s="356"/>
      <c r="D1582" s="751"/>
      <c r="E1582" s="751"/>
      <c r="F1582" s="331"/>
      <c r="G1582" s="355"/>
      <c r="H1582" s="331"/>
    </row>
    <row r="1583" spans="1:9" ht="15.75" customHeight="1">
      <c r="A1583" s="330"/>
      <c r="B1583" s="354"/>
      <c r="C1583" s="331"/>
      <c r="D1583" s="751"/>
      <c r="E1583" s="751"/>
      <c r="F1583" s="331"/>
      <c r="G1583" s="355"/>
      <c r="H1583" s="331"/>
    </row>
    <row r="1584" spans="1:9" ht="15.75" customHeight="1">
      <c r="A1584" s="330"/>
      <c r="B1584" s="354"/>
      <c r="C1584" s="331"/>
      <c r="D1584" s="751"/>
      <c r="E1584" s="751"/>
      <c r="F1584" s="331"/>
      <c r="G1584" s="355"/>
      <c r="H1584" s="331"/>
      <c r="I1584" t="s">
        <v>256</v>
      </c>
    </row>
    <row r="1585" spans="1:8" ht="15.75" customHeight="1">
      <c r="A1585" s="330"/>
      <c r="B1585" s="354"/>
      <c r="C1585" s="331"/>
      <c r="D1585" s="751"/>
      <c r="E1585" s="751"/>
      <c r="F1585" s="331"/>
      <c r="G1585" s="355"/>
      <c r="H1585" s="331"/>
    </row>
    <row r="1586" spans="1:8" ht="15.75" customHeight="1">
      <c r="A1586" s="330"/>
      <c r="B1586" s="354"/>
      <c r="C1586" s="331"/>
      <c r="D1586" s="751"/>
      <c r="E1586" s="751"/>
      <c r="F1586" s="331"/>
      <c r="G1586" s="355"/>
      <c r="H1586" s="331"/>
    </row>
    <row r="1587" spans="1:8" ht="15.75" customHeight="1">
      <c r="A1587" s="330"/>
      <c r="B1587" s="354"/>
      <c r="C1587" s="331"/>
      <c r="D1587" s="751"/>
      <c r="E1587" s="751"/>
      <c r="F1587" s="331"/>
      <c r="G1587" s="355"/>
      <c r="H1587" s="331"/>
    </row>
    <row r="1588" spans="1:8" ht="15.75" customHeight="1">
      <c r="A1588" s="330"/>
      <c r="B1588" s="354"/>
      <c r="C1588" s="331"/>
      <c r="D1588" s="751"/>
      <c r="E1588" s="751"/>
      <c r="F1588" s="331"/>
      <c r="G1588" s="355"/>
      <c r="H1588" s="331"/>
    </row>
    <row r="1589" spans="1:8">
      <c r="A1589" s="330"/>
      <c r="B1589" s="356"/>
      <c r="D1589" s="751"/>
      <c r="E1589" s="751"/>
      <c r="F1589" s="331"/>
      <c r="G1589" s="355"/>
      <c r="H1589" s="331"/>
    </row>
    <row r="1590" spans="1:8">
      <c r="A1590" s="330"/>
      <c r="B1590" s="354"/>
      <c r="C1590" s="331"/>
      <c r="D1590" s="751"/>
      <c r="E1590" s="751"/>
      <c r="F1590" s="331"/>
      <c r="G1590" s="355"/>
      <c r="H1590" s="331"/>
    </row>
    <row r="1591" spans="1:8">
      <c r="A1591" s="330"/>
      <c r="B1591" s="354"/>
      <c r="C1591" s="331"/>
      <c r="D1591" s="751"/>
      <c r="E1591" s="751"/>
      <c r="F1591" s="331"/>
      <c r="G1591" s="355"/>
      <c r="H1591" s="333"/>
    </row>
    <row r="1592" spans="1:8">
      <c r="A1592" s="330"/>
      <c r="B1592" s="354"/>
      <c r="C1592" s="331"/>
      <c r="D1592" s="751"/>
      <c r="E1592" s="751"/>
      <c r="F1592" s="331"/>
      <c r="G1592" s="355"/>
      <c r="H1592" s="333"/>
    </row>
    <row r="1593" spans="1:8">
      <c r="A1593" s="330"/>
      <c r="B1593" s="354"/>
      <c r="C1593" s="331"/>
      <c r="D1593" s="751"/>
      <c r="E1593" s="751"/>
      <c r="F1593" s="331"/>
      <c r="G1593" s="355"/>
      <c r="H1593" s="333"/>
    </row>
    <row r="1594" spans="1:8">
      <c r="A1594" s="330"/>
      <c r="B1594" s="354"/>
      <c r="C1594" s="331"/>
      <c r="D1594" s="751"/>
      <c r="E1594" s="751"/>
      <c r="F1594" s="331"/>
      <c r="G1594" s="355"/>
      <c r="H1594" s="333"/>
    </row>
    <row r="1595" spans="1:8">
      <c r="A1595" s="330"/>
      <c r="B1595" s="356"/>
      <c r="G1595" s="357"/>
      <c r="H1595" s="333"/>
    </row>
    <row r="1596" spans="1:8">
      <c r="A1596" s="337"/>
      <c r="B1596" s="752"/>
      <c r="C1596" s="753"/>
      <c r="D1596" s="753"/>
      <c r="E1596" s="753"/>
      <c r="F1596" s="358"/>
      <c r="G1596" s="359"/>
      <c r="H1596" s="360"/>
    </row>
    <row r="1597" spans="1:8">
      <c r="A1597" s="330"/>
      <c r="B1597" s="356"/>
      <c r="G1597" s="357"/>
    </row>
    <row r="1598" spans="1:8">
      <c r="A1598" s="330"/>
      <c r="B1598" s="354"/>
      <c r="C1598" s="331"/>
      <c r="D1598" s="331"/>
      <c r="E1598" s="338"/>
      <c r="F1598" s="338"/>
      <c r="G1598" s="361"/>
      <c r="H1598" s="339"/>
    </row>
    <row r="1599" spans="1:8">
      <c r="A1599" s="330"/>
      <c r="B1599" s="730"/>
      <c r="C1599" s="731"/>
      <c r="D1599" s="731"/>
      <c r="E1599" s="731"/>
      <c r="F1599" s="343"/>
      <c r="G1599" s="362"/>
      <c r="H1599" s="743"/>
    </row>
    <row r="1600" spans="1:8">
      <c r="A1600" s="330"/>
      <c r="B1600" s="730"/>
      <c r="C1600" s="731"/>
      <c r="D1600" s="731"/>
      <c r="E1600" s="731"/>
      <c r="F1600" s="343"/>
      <c r="G1600" s="362"/>
      <c r="H1600" s="743"/>
    </row>
    <row r="1601" spans="1:8">
      <c r="A1601" s="330"/>
      <c r="B1601" s="363"/>
      <c r="C1601" s="343"/>
      <c r="D1601" s="343"/>
      <c r="E1601" s="343"/>
      <c r="F1601" s="343"/>
      <c r="G1601" s="362"/>
      <c r="H1601" s="344"/>
    </row>
    <row r="1602" spans="1:8">
      <c r="A1602" s="330"/>
      <c r="B1602" s="364"/>
      <c r="C1602" s="332"/>
      <c r="D1602" s="332"/>
      <c r="E1602" s="332"/>
      <c r="F1602" s="332"/>
      <c r="G1602" s="365"/>
      <c r="H1602" s="332"/>
    </row>
    <row r="1603" spans="1:8">
      <c r="A1603" s="330"/>
      <c r="B1603" s="737"/>
      <c r="C1603" s="738"/>
      <c r="D1603" s="738"/>
      <c r="E1603" s="738"/>
      <c r="F1603" s="331"/>
      <c r="G1603" s="355"/>
      <c r="H1603" s="345"/>
    </row>
    <row r="1604" spans="1:8">
      <c r="A1604" s="330"/>
      <c r="B1604" s="737"/>
      <c r="C1604" s="738"/>
      <c r="D1604" s="738"/>
      <c r="E1604" s="738"/>
      <c r="F1604" s="331"/>
      <c r="G1604" s="355"/>
      <c r="H1604" s="345"/>
    </row>
    <row r="1605" spans="1:8">
      <c r="A1605" s="330"/>
      <c r="B1605" s="354" t="s">
        <v>775</v>
      </c>
      <c r="C1605" s="331"/>
      <c r="D1605" s="331"/>
      <c r="E1605" s="331"/>
      <c r="F1605" s="331"/>
      <c r="G1605" s="355"/>
      <c r="H1605" s="345"/>
    </row>
    <row r="1606" spans="1:8">
      <c r="A1606" s="330"/>
      <c r="B1606" s="737"/>
      <c r="C1606" s="738"/>
      <c r="D1606" s="738"/>
      <c r="E1606" s="738"/>
      <c r="F1606" s="331"/>
      <c r="G1606" s="355"/>
      <c r="H1606" s="345"/>
    </row>
    <row r="1607" spans="1:8" ht="27.75">
      <c r="A1607" s="330"/>
      <c r="B1607" s="373"/>
      <c r="C1607" s="341"/>
      <c r="D1607" s="739" t="s">
        <v>762</v>
      </c>
      <c r="E1607" s="739"/>
      <c r="F1607" s="330"/>
      <c r="G1607" s="366"/>
      <c r="H1607" s="339"/>
    </row>
    <row r="1608" spans="1:8">
      <c r="A1608" s="330"/>
      <c r="B1608" s="356"/>
      <c r="G1608" s="357"/>
    </row>
    <row r="1609" spans="1:8">
      <c r="A1609" s="330"/>
      <c r="B1609" s="373"/>
      <c r="C1609" s="341"/>
      <c r="D1609" s="733"/>
      <c r="E1609" s="733"/>
      <c r="F1609" s="332"/>
      <c r="G1609" s="365"/>
      <c r="H1609" s="339"/>
    </row>
    <row r="1610" spans="1:8">
      <c r="A1610" s="330"/>
      <c r="B1610" s="356"/>
      <c r="D1610" s="733" t="s">
        <v>801</v>
      </c>
      <c r="E1610" s="733"/>
      <c r="G1610" s="357"/>
    </row>
    <row r="1611" spans="1:8">
      <c r="A1611" s="330"/>
      <c r="B1611" s="730"/>
      <c r="C1611" s="731"/>
      <c r="D1611" s="731"/>
      <c r="E1611" s="338"/>
      <c r="F1611" s="338"/>
      <c r="G1611" s="361"/>
      <c r="H1611" s="331"/>
    </row>
    <row r="1612" spans="1:8">
      <c r="A1612" s="330"/>
      <c r="B1612" s="730"/>
      <c r="C1612" s="731"/>
      <c r="D1612" s="731"/>
      <c r="E1612" s="338"/>
      <c r="F1612" s="338"/>
      <c r="G1612" s="361"/>
      <c r="H1612" s="331"/>
    </row>
    <row r="1613" spans="1:8">
      <c r="A1613" s="330"/>
      <c r="B1613" s="356"/>
      <c r="D1613" s="732" t="s">
        <v>806</v>
      </c>
      <c r="E1613" s="732"/>
      <c r="F1613" s="338"/>
      <c r="G1613" s="361"/>
    </row>
    <row r="1614" spans="1:8">
      <c r="A1614" s="330"/>
      <c r="B1614" s="354"/>
      <c r="C1614" s="331"/>
      <c r="D1614" s="331"/>
      <c r="E1614" s="338"/>
      <c r="F1614" s="338"/>
      <c r="G1614" s="361"/>
      <c r="H1614" s="331"/>
    </row>
    <row r="1615" spans="1:8">
      <c r="A1615" s="330"/>
      <c r="B1615" s="354"/>
      <c r="C1615" s="331"/>
      <c r="D1615" s="733" t="s">
        <v>802</v>
      </c>
      <c r="E1615" s="733"/>
      <c r="F1615" s="338"/>
      <c r="G1615" s="361"/>
      <c r="H1615" s="331"/>
    </row>
    <row r="1616" spans="1:8">
      <c r="A1616" s="330"/>
      <c r="B1616" s="354"/>
      <c r="C1616" s="331"/>
      <c r="D1616" s="734" t="s">
        <v>807</v>
      </c>
      <c r="E1616" s="734"/>
      <c r="F1616" s="338"/>
      <c r="G1616" s="361"/>
      <c r="H1616" s="331"/>
    </row>
    <row r="1617" spans="1:8">
      <c r="A1617" s="330"/>
      <c r="B1617" s="735"/>
      <c r="C1617" s="736"/>
      <c r="D1617" s="736"/>
      <c r="E1617" s="338"/>
      <c r="F1617" s="338"/>
      <c r="G1617" s="361"/>
    </row>
    <row r="1618" spans="1:8">
      <c r="A1618" s="330"/>
      <c r="B1618" s="735"/>
      <c r="C1618" s="736"/>
      <c r="D1618" s="736"/>
      <c r="E1618" s="338"/>
      <c r="F1618" s="338"/>
      <c r="G1618" s="361"/>
    </row>
    <row r="1619" spans="1:8">
      <c r="A1619" s="330"/>
      <c r="B1619" s="354"/>
      <c r="C1619" s="331"/>
      <c r="E1619" s="338"/>
      <c r="F1619" s="338"/>
      <c r="G1619" s="361"/>
    </row>
    <row r="1620" spans="1:8">
      <c r="A1620" s="330"/>
      <c r="B1620" s="737"/>
      <c r="C1620" s="738"/>
      <c r="D1620" s="738"/>
      <c r="E1620" s="338"/>
      <c r="F1620" s="338"/>
      <c r="G1620" s="361"/>
      <c r="H1620" s="331"/>
    </row>
    <row r="1621" spans="1:8">
      <c r="A1621" s="330"/>
      <c r="B1621" s="356"/>
      <c r="E1621" s="338"/>
      <c r="F1621" s="338"/>
      <c r="G1621" s="361"/>
    </row>
    <row r="1622" spans="1:8">
      <c r="A1622" s="330"/>
      <c r="B1622" s="356"/>
      <c r="E1622" s="338"/>
      <c r="F1622" s="338"/>
      <c r="G1622" s="361"/>
    </row>
    <row r="1623" spans="1:8">
      <c r="A1623" s="330"/>
      <c r="B1623" s="356"/>
      <c r="E1623" s="338"/>
      <c r="F1623" s="338"/>
      <c r="G1623" s="361"/>
      <c r="H1623" s="350"/>
    </row>
    <row r="1624" spans="1:8">
      <c r="A1624" s="330"/>
      <c r="B1624" s="356"/>
      <c r="E1624" s="338"/>
      <c r="F1624" s="338"/>
      <c r="G1624" s="361"/>
    </row>
    <row r="1625" spans="1:8">
      <c r="A1625" s="330"/>
      <c r="B1625" s="744"/>
      <c r="C1625" s="745"/>
      <c r="D1625" s="746"/>
      <c r="E1625" s="338"/>
      <c r="F1625" s="338"/>
      <c r="G1625" s="361"/>
      <c r="H1625" s="331"/>
    </row>
    <row r="1626" spans="1:8">
      <c r="A1626" s="330"/>
      <c r="B1626" s="356"/>
      <c r="D1626" s="357"/>
      <c r="E1626" s="338"/>
      <c r="F1626" s="338"/>
      <c r="G1626" s="361"/>
    </row>
    <row r="1627" spans="1:8">
      <c r="A1627" s="330"/>
      <c r="B1627" s="356"/>
      <c r="D1627" s="367" t="s">
        <v>797</v>
      </c>
      <c r="E1627" s="338"/>
      <c r="F1627" s="338"/>
      <c r="G1627" s="361"/>
    </row>
    <row r="1628" spans="1:8">
      <c r="A1628" s="330"/>
      <c r="B1628" s="356"/>
      <c r="D1628" s="357" t="s">
        <v>798</v>
      </c>
      <c r="E1628" s="338"/>
      <c r="F1628" s="338"/>
      <c r="G1628" s="361"/>
      <c r="H1628" s="351"/>
    </row>
    <row r="1629" spans="1:8">
      <c r="A1629" s="330"/>
      <c r="B1629" s="354"/>
      <c r="C1629" s="331"/>
      <c r="D1629" s="355" t="s">
        <v>799</v>
      </c>
      <c r="E1629" s="338"/>
      <c r="F1629" s="338"/>
      <c r="G1629" s="361"/>
      <c r="H1629" s="331"/>
    </row>
    <row r="1630" spans="1:8">
      <c r="A1630" s="330"/>
      <c r="B1630" s="354"/>
      <c r="C1630" s="331"/>
      <c r="D1630" s="355" t="s">
        <v>800</v>
      </c>
      <c r="E1630" s="338"/>
      <c r="F1630" s="338"/>
      <c r="G1630" s="361"/>
      <c r="H1630" s="331"/>
    </row>
    <row r="1631" spans="1:8">
      <c r="A1631" s="330"/>
      <c r="B1631" s="354"/>
      <c r="C1631" s="331"/>
      <c r="D1631" s="355"/>
      <c r="E1631" s="338"/>
      <c r="F1631" s="338"/>
      <c r="G1631" s="361"/>
      <c r="H1631" s="331"/>
    </row>
    <row r="1632" spans="1:8">
      <c r="A1632" s="330"/>
      <c r="B1632" s="354"/>
      <c r="C1632" s="331"/>
      <c r="D1632" s="355"/>
      <c r="E1632" s="338"/>
      <c r="F1632" s="338"/>
      <c r="G1632" s="361"/>
      <c r="H1632" s="331"/>
    </row>
    <row r="1633" spans="1:9">
      <c r="A1633" s="330"/>
      <c r="B1633" s="368"/>
      <c r="C1633" s="369"/>
      <c r="D1633" s="370"/>
      <c r="E1633" s="371"/>
      <c r="F1633" s="371"/>
      <c r="G1633" s="372"/>
      <c r="H1633" s="331"/>
    </row>
    <row r="1634" spans="1:9">
      <c r="A1634" s="330"/>
      <c r="E1634" s="338"/>
      <c r="F1634" s="338"/>
      <c r="G1634" s="338"/>
      <c r="H1634" s="345"/>
    </row>
    <row r="1637" spans="1:9">
      <c r="A1637" s="329"/>
      <c r="E1637" s="338"/>
      <c r="F1637" s="338"/>
      <c r="G1637" s="338"/>
    </row>
    <row r="1638" spans="1:9">
      <c r="A1638" s="330"/>
      <c r="B1638" s="748"/>
      <c r="C1638" s="749"/>
      <c r="D1638" s="749"/>
      <c r="E1638" s="749"/>
      <c r="F1638" s="352"/>
      <c r="G1638" s="353"/>
      <c r="H1638" s="332"/>
    </row>
    <row r="1639" spans="1:9">
      <c r="A1639" s="330"/>
      <c r="B1639" s="354"/>
      <c r="C1639" s="331"/>
      <c r="D1639" s="331"/>
      <c r="E1639" s="331"/>
      <c r="F1639" s="331"/>
      <c r="G1639" s="355"/>
      <c r="H1639" s="331"/>
    </row>
    <row r="1640" spans="1:9">
      <c r="A1640" s="330"/>
      <c r="B1640" s="354"/>
      <c r="C1640" s="331"/>
      <c r="D1640" s="331"/>
      <c r="E1640" s="331"/>
      <c r="F1640" s="331"/>
      <c r="G1640" s="355"/>
      <c r="H1640" s="331"/>
    </row>
    <row r="1641" spans="1:9">
      <c r="A1641" s="330"/>
      <c r="B1641" s="737"/>
      <c r="C1641" s="738"/>
      <c r="D1641" s="738"/>
      <c r="E1641" s="738"/>
      <c r="F1641" s="331"/>
      <c r="G1641" s="355"/>
      <c r="H1641" s="331"/>
    </row>
    <row r="1642" spans="1:9">
      <c r="A1642" s="330"/>
      <c r="B1642" s="354"/>
      <c r="C1642" s="331"/>
      <c r="D1642" s="331"/>
      <c r="E1642" s="331"/>
      <c r="F1642" s="331"/>
      <c r="G1642" s="355"/>
      <c r="H1642" s="331"/>
    </row>
    <row r="1643" spans="1:9">
      <c r="A1643" s="330"/>
      <c r="B1643" s="354"/>
      <c r="C1643" s="331"/>
      <c r="D1643" s="331"/>
      <c r="E1643" s="331"/>
      <c r="F1643" s="331"/>
      <c r="G1643" s="355"/>
      <c r="H1643" s="331"/>
    </row>
    <row r="1644" spans="1:9" ht="15.75" customHeight="1">
      <c r="A1644" s="330"/>
      <c r="B1644" s="354"/>
      <c r="C1644" s="331"/>
      <c r="D1644" s="751" t="s">
        <v>256</v>
      </c>
      <c r="E1644" s="751"/>
      <c r="F1644" s="331"/>
      <c r="G1644" s="355"/>
      <c r="H1644" s="331"/>
    </row>
    <row r="1645" spans="1:9" ht="15.75" customHeight="1">
      <c r="A1645" s="330"/>
      <c r="B1645" s="356"/>
      <c r="D1645" s="751"/>
      <c r="E1645" s="751"/>
      <c r="F1645" s="331"/>
      <c r="G1645" s="355"/>
      <c r="H1645" s="331"/>
    </row>
    <row r="1646" spans="1:9" ht="15.75" customHeight="1">
      <c r="A1646" s="330"/>
      <c r="B1646" s="354"/>
      <c r="C1646" s="331"/>
      <c r="D1646" s="751"/>
      <c r="E1646" s="751"/>
      <c r="F1646" s="331"/>
      <c r="G1646" s="355"/>
      <c r="H1646" s="331"/>
    </row>
    <row r="1647" spans="1:9" ht="15.75" customHeight="1">
      <c r="A1647" s="330"/>
      <c r="B1647" s="354"/>
      <c r="C1647" s="331"/>
      <c r="D1647" s="751"/>
      <c r="E1647" s="751"/>
      <c r="F1647" s="331"/>
      <c r="G1647" s="355"/>
      <c r="H1647" s="331"/>
      <c r="I1647" t="s">
        <v>256</v>
      </c>
    </row>
    <row r="1648" spans="1:9" ht="15.75" customHeight="1">
      <c r="A1648" s="330"/>
      <c r="B1648" s="354"/>
      <c r="C1648" s="331"/>
      <c r="D1648" s="751"/>
      <c r="E1648" s="751"/>
      <c r="F1648" s="331"/>
      <c r="G1648" s="355"/>
      <c r="H1648" s="331"/>
    </row>
    <row r="1649" spans="1:8" ht="15.75" customHeight="1">
      <c r="A1649" s="330"/>
      <c r="B1649" s="354"/>
      <c r="C1649" s="331"/>
      <c r="D1649" s="751"/>
      <c r="E1649" s="751"/>
      <c r="F1649" s="331"/>
      <c r="G1649" s="355"/>
      <c r="H1649" s="331"/>
    </row>
    <row r="1650" spans="1:8" ht="15.75" customHeight="1">
      <c r="A1650" s="330"/>
      <c r="B1650" s="354"/>
      <c r="C1650" s="331"/>
      <c r="D1650" s="751"/>
      <c r="E1650" s="751"/>
      <c r="F1650" s="331"/>
      <c r="G1650" s="355"/>
      <c r="H1650" s="331"/>
    </row>
    <row r="1651" spans="1:8" ht="15.75" customHeight="1">
      <c r="A1651" s="330"/>
      <c r="B1651" s="354"/>
      <c r="C1651" s="331"/>
      <c r="D1651" s="751"/>
      <c r="E1651" s="751"/>
      <c r="F1651" s="331"/>
      <c r="G1651" s="355"/>
      <c r="H1651" s="331"/>
    </row>
    <row r="1652" spans="1:8">
      <c r="A1652" s="330"/>
      <c r="B1652" s="356"/>
      <c r="D1652" s="751"/>
      <c r="E1652" s="751"/>
      <c r="F1652" s="331"/>
      <c r="G1652" s="355"/>
      <c r="H1652" s="331"/>
    </row>
    <row r="1653" spans="1:8">
      <c r="A1653" s="330"/>
      <c r="B1653" s="354"/>
      <c r="C1653" s="331"/>
      <c r="D1653" s="751"/>
      <c r="E1653" s="751"/>
      <c r="F1653" s="331"/>
      <c r="G1653" s="355"/>
      <c r="H1653" s="331"/>
    </row>
    <row r="1654" spans="1:8">
      <c r="A1654" s="330"/>
      <c r="B1654" s="354"/>
      <c r="C1654" s="331"/>
      <c r="D1654" s="751"/>
      <c r="E1654" s="751"/>
      <c r="F1654" s="331"/>
      <c r="G1654" s="355"/>
      <c r="H1654" s="333"/>
    </row>
    <row r="1655" spans="1:8">
      <c r="A1655" s="330"/>
      <c r="B1655" s="354"/>
      <c r="C1655" s="331"/>
      <c r="D1655" s="751"/>
      <c r="E1655" s="751"/>
      <c r="F1655" s="331"/>
      <c r="G1655" s="355"/>
      <c r="H1655" s="333"/>
    </row>
    <row r="1656" spans="1:8">
      <c r="A1656" s="330"/>
      <c r="B1656" s="354"/>
      <c r="C1656" s="331"/>
      <c r="D1656" s="751"/>
      <c r="E1656" s="751"/>
      <c r="F1656" s="331"/>
      <c r="G1656" s="355"/>
      <c r="H1656" s="333"/>
    </row>
    <row r="1657" spans="1:8">
      <c r="A1657" s="330"/>
      <c r="B1657" s="354"/>
      <c r="C1657" s="331"/>
      <c r="D1657" s="751"/>
      <c r="E1657" s="751"/>
      <c r="F1657" s="331"/>
      <c r="G1657" s="355"/>
      <c r="H1657" s="333"/>
    </row>
    <row r="1658" spans="1:8">
      <c r="A1658" s="330"/>
      <c r="B1658" s="356"/>
      <c r="G1658" s="357"/>
      <c r="H1658" s="333"/>
    </row>
    <row r="1659" spans="1:8">
      <c r="A1659" s="337"/>
      <c r="B1659" s="752"/>
      <c r="C1659" s="753"/>
      <c r="D1659" s="753"/>
      <c r="E1659" s="753"/>
      <c r="F1659" s="358"/>
      <c r="G1659" s="359"/>
      <c r="H1659" s="360"/>
    </row>
    <row r="1660" spans="1:8">
      <c r="A1660" s="330"/>
      <c r="B1660" s="356"/>
      <c r="G1660" s="357"/>
    </row>
    <row r="1661" spans="1:8">
      <c r="A1661" s="330"/>
      <c r="B1661" s="354"/>
      <c r="C1661" s="331"/>
      <c r="D1661" s="331"/>
      <c r="E1661" s="338"/>
      <c r="F1661" s="338"/>
      <c r="G1661" s="361"/>
      <c r="H1661" s="339"/>
    </row>
    <row r="1662" spans="1:8">
      <c r="A1662" s="330"/>
      <c r="B1662" s="730"/>
      <c r="C1662" s="731"/>
      <c r="D1662" s="731"/>
      <c r="E1662" s="731"/>
      <c r="F1662" s="343"/>
      <c r="G1662" s="362"/>
      <c r="H1662" s="743"/>
    </row>
    <row r="1663" spans="1:8">
      <c r="A1663" s="330"/>
      <c r="B1663" s="730"/>
      <c r="C1663" s="731"/>
      <c r="D1663" s="731"/>
      <c r="E1663" s="731"/>
      <c r="F1663" s="343"/>
      <c r="G1663" s="362"/>
      <c r="H1663" s="743"/>
    </row>
    <row r="1664" spans="1:8">
      <c r="A1664" s="330"/>
      <c r="B1664" s="363"/>
      <c r="C1664" s="343"/>
      <c r="D1664" s="343"/>
      <c r="E1664" s="343"/>
      <c r="F1664" s="343"/>
      <c r="G1664" s="362"/>
      <c r="H1664" s="344"/>
    </row>
    <row r="1665" spans="1:8">
      <c r="A1665" s="330"/>
      <c r="B1665" s="364"/>
      <c r="C1665" s="332"/>
      <c r="D1665" s="332"/>
      <c r="E1665" s="332"/>
      <c r="F1665" s="332"/>
      <c r="G1665" s="365"/>
      <c r="H1665" s="332"/>
    </row>
    <row r="1666" spans="1:8">
      <c r="A1666" s="330"/>
      <c r="B1666" s="737"/>
      <c r="C1666" s="738"/>
      <c r="D1666" s="738"/>
      <c r="E1666" s="738"/>
      <c r="F1666" s="331"/>
      <c r="G1666" s="355"/>
      <c r="H1666" s="345"/>
    </row>
    <row r="1667" spans="1:8">
      <c r="A1667" s="330"/>
      <c r="B1667" s="737"/>
      <c r="C1667" s="738"/>
      <c r="D1667" s="738"/>
      <c r="E1667" s="738"/>
      <c r="F1667" s="331"/>
      <c r="G1667" s="355"/>
      <c r="H1667" s="345"/>
    </row>
    <row r="1668" spans="1:8">
      <c r="A1668" s="330"/>
      <c r="B1668" s="354" t="s">
        <v>775</v>
      </c>
      <c r="C1668" s="331"/>
      <c r="D1668" s="331"/>
      <c r="E1668" s="331"/>
      <c r="F1668" s="331"/>
      <c r="G1668" s="355"/>
      <c r="H1668" s="345"/>
    </row>
    <row r="1669" spans="1:8">
      <c r="A1669" s="330"/>
      <c r="B1669" s="737"/>
      <c r="C1669" s="738"/>
      <c r="D1669" s="738"/>
      <c r="E1669" s="738"/>
      <c r="F1669" s="331"/>
      <c r="G1669" s="355"/>
      <c r="H1669" s="345"/>
    </row>
    <row r="1670" spans="1:8" ht="27.75">
      <c r="A1670" s="330"/>
      <c r="B1670" s="373"/>
      <c r="C1670" s="341"/>
      <c r="D1670" s="739" t="s">
        <v>762</v>
      </c>
      <c r="E1670" s="739"/>
      <c r="F1670" s="330"/>
      <c r="G1670" s="366"/>
      <c r="H1670" s="339"/>
    </row>
    <row r="1671" spans="1:8">
      <c r="A1671" s="330"/>
      <c r="B1671" s="356"/>
      <c r="G1671" s="357"/>
    </row>
    <row r="1672" spans="1:8">
      <c r="A1672" s="330"/>
      <c r="B1672" s="373"/>
      <c r="C1672" s="341"/>
      <c r="D1672" s="733"/>
      <c r="E1672" s="733"/>
      <c r="F1672" s="332"/>
      <c r="G1672" s="365"/>
      <c r="H1672" s="339"/>
    </row>
    <row r="1673" spans="1:8">
      <c r="A1673" s="330"/>
      <c r="B1673" s="356"/>
      <c r="D1673" s="733" t="s">
        <v>801</v>
      </c>
      <c r="E1673" s="733"/>
      <c r="G1673" s="357"/>
    </row>
    <row r="1674" spans="1:8">
      <c r="A1674" s="330"/>
      <c r="B1674" s="730"/>
      <c r="C1674" s="731"/>
      <c r="D1674" s="731"/>
      <c r="E1674" s="338"/>
      <c r="F1674" s="338"/>
      <c r="G1674" s="361"/>
      <c r="H1674" s="331"/>
    </row>
    <row r="1675" spans="1:8">
      <c r="A1675" s="330"/>
      <c r="B1675" s="730"/>
      <c r="C1675" s="731"/>
      <c r="D1675" s="731"/>
      <c r="E1675" s="338"/>
      <c r="F1675" s="338"/>
      <c r="G1675" s="361"/>
      <c r="H1675" s="331"/>
    </row>
    <row r="1676" spans="1:8">
      <c r="A1676" s="330"/>
      <c r="B1676" s="356"/>
      <c r="D1676" s="732" t="s">
        <v>806</v>
      </c>
      <c r="E1676" s="732"/>
      <c r="F1676" s="338"/>
      <c r="G1676" s="361"/>
    </row>
    <row r="1677" spans="1:8">
      <c r="A1677" s="330"/>
      <c r="B1677" s="354"/>
      <c r="C1677" s="331"/>
      <c r="D1677" s="331"/>
      <c r="E1677" s="338"/>
      <c r="F1677" s="338"/>
      <c r="G1677" s="361"/>
      <c r="H1677" s="331"/>
    </row>
    <row r="1678" spans="1:8">
      <c r="A1678" s="330"/>
      <c r="B1678" s="354"/>
      <c r="C1678" s="331"/>
      <c r="D1678" s="733" t="s">
        <v>802</v>
      </c>
      <c r="E1678" s="733"/>
      <c r="F1678" s="338"/>
      <c r="G1678" s="361"/>
      <c r="H1678" s="331"/>
    </row>
    <row r="1679" spans="1:8">
      <c r="A1679" s="330"/>
      <c r="B1679" s="354"/>
      <c r="C1679" s="331"/>
      <c r="D1679" s="734" t="s">
        <v>807</v>
      </c>
      <c r="E1679" s="734"/>
      <c r="F1679" s="338"/>
      <c r="G1679" s="361"/>
      <c r="H1679" s="331"/>
    </row>
    <row r="1680" spans="1:8">
      <c r="A1680" s="330"/>
      <c r="B1680" s="735"/>
      <c r="C1680" s="736"/>
      <c r="D1680" s="736"/>
      <c r="E1680" s="338"/>
      <c r="F1680" s="338"/>
      <c r="G1680" s="361"/>
    </row>
    <row r="1681" spans="1:8">
      <c r="A1681" s="330"/>
      <c r="B1681" s="735"/>
      <c r="C1681" s="736"/>
      <c r="D1681" s="736"/>
      <c r="E1681" s="338"/>
      <c r="F1681" s="338"/>
      <c r="G1681" s="361"/>
    </row>
    <row r="1682" spans="1:8">
      <c r="A1682" s="330"/>
      <c r="B1682" s="354"/>
      <c r="C1682" s="331"/>
      <c r="E1682" s="338"/>
      <c r="F1682" s="338"/>
      <c r="G1682" s="361"/>
    </row>
    <row r="1683" spans="1:8">
      <c r="A1683" s="330"/>
      <c r="B1683" s="737"/>
      <c r="C1683" s="738"/>
      <c r="D1683" s="738"/>
      <c r="E1683" s="338"/>
      <c r="F1683" s="338"/>
      <c r="G1683" s="361"/>
      <c r="H1683" s="331"/>
    </row>
    <row r="1684" spans="1:8">
      <c r="A1684" s="330"/>
      <c r="B1684" s="356"/>
      <c r="E1684" s="338"/>
      <c r="F1684" s="338"/>
      <c r="G1684" s="361"/>
    </row>
    <row r="1685" spans="1:8">
      <c r="A1685" s="330"/>
      <c r="B1685" s="356"/>
      <c r="E1685" s="338"/>
      <c r="F1685" s="338"/>
      <c r="G1685" s="361"/>
    </row>
    <row r="1686" spans="1:8">
      <c r="A1686" s="330"/>
      <c r="B1686" s="356"/>
      <c r="E1686" s="338"/>
      <c r="F1686" s="338"/>
      <c r="G1686" s="361"/>
      <c r="H1686" s="350"/>
    </row>
    <row r="1687" spans="1:8">
      <c r="A1687" s="330"/>
      <c r="B1687" s="356"/>
      <c r="E1687" s="338"/>
      <c r="F1687" s="338"/>
      <c r="G1687" s="361"/>
    </row>
    <row r="1688" spans="1:8">
      <c r="A1688" s="330"/>
      <c r="B1688" s="744"/>
      <c r="C1688" s="745"/>
      <c r="D1688" s="746"/>
      <c r="E1688" s="338"/>
      <c r="F1688" s="338"/>
      <c r="G1688" s="361"/>
      <c r="H1688" s="331"/>
    </row>
    <row r="1689" spans="1:8">
      <c r="A1689" s="330"/>
      <c r="B1689" s="356"/>
      <c r="D1689" s="357"/>
      <c r="E1689" s="338"/>
      <c r="F1689" s="338"/>
      <c r="G1689" s="361"/>
    </row>
    <row r="1690" spans="1:8">
      <c r="A1690" s="330"/>
      <c r="B1690" s="356"/>
      <c r="D1690" s="367" t="s">
        <v>797</v>
      </c>
      <c r="E1690" s="338"/>
      <c r="F1690" s="338"/>
      <c r="G1690" s="361"/>
    </row>
    <row r="1691" spans="1:8">
      <c r="A1691" s="330"/>
      <c r="B1691" s="356"/>
      <c r="D1691" s="357" t="s">
        <v>798</v>
      </c>
      <c r="E1691" s="338"/>
      <c r="F1691" s="338"/>
      <c r="G1691" s="361"/>
      <c r="H1691" s="351"/>
    </row>
    <row r="1692" spans="1:8">
      <c r="A1692" s="330"/>
      <c r="B1692" s="354"/>
      <c r="C1692" s="331"/>
      <c r="D1692" s="355" t="s">
        <v>799</v>
      </c>
      <c r="E1692" s="338"/>
      <c r="F1692" s="338"/>
      <c r="G1692" s="361"/>
      <c r="H1692" s="331"/>
    </row>
    <row r="1693" spans="1:8">
      <c r="A1693" s="330"/>
      <c r="B1693" s="354"/>
      <c r="C1693" s="331"/>
      <c r="D1693" s="355" t="s">
        <v>800</v>
      </c>
      <c r="E1693" s="338"/>
      <c r="F1693" s="338"/>
      <c r="G1693" s="361"/>
      <c r="H1693" s="331"/>
    </row>
    <row r="1694" spans="1:8">
      <c r="A1694" s="330"/>
      <c r="B1694" s="354"/>
      <c r="C1694" s="331"/>
      <c r="D1694" s="355"/>
      <c r="E1694" s="338"/>
      <c r="F1694" s="338"/>
      <c r="G1694" s="361"/>
      <c r="H1694" s="331"/>
    </row>
    <row r="1695" spans="1:8">
      <c r="A1695" s="330"/>
      <c r="B1695" s="354"/>
      <c r="C1695" s="331"/>
      <c r="D1695" s="355"/>
      <c r="E1695" s="338"/>
      <c r="F1695" s="338"/>
      <c r="G1695" s="361"/>
      <c r="H1695" s="331"/>
    </row>
    <row r="1696" spans="1:8">
      <c r="A1696" s="330"/>
      <c r="B1696" s="368"/>
      <c r="C1696" s="369"/>
      <c r="D1696" s="370"/>
      <c r="E1696" s="371"/>
      <c r="F1696" s="371"/>
      <c r="G1696" s="372"/>
      <c r="H1696" s="331"/>
    </row>
    <row r="1697" spans="1:9">
      <c r="A1697" s="330"/>
      <c r="E1697" s="338"/>
      <c r="F1697" s="338"/>
      <c r="G1697" s="338"/>
      <c r="H1697" s="345"/>
    </row>
    <row r="1699" spans="1:9">
      <c r="A1699" s="329"/>
      <c r="E1699" s="338"/>
      <c r="F1699" s="338"/>
      <c r="G1699" s="338"/>
    </row>
    <row r="1700" spans="1:9">
      <c r="A1700" s="330"/>
      <c r="B1700" s="748"/>
      <c r="C1700" s="749"/>
      <c r="D1700" s="749"/>
      <c r="E1700" s="749"/>
      <c r="F1700" s="352"/>
      <c r="G1700" s="353"/>
      <c r="H1700" s="332"/>
    </row>
    <row r="1701" spans="1:9">
      <c r="A1701" s="330"/>
      <c r="B1701" s="354"/>
      <c r="C1701" s="331"/>
      <c r="D1701" s="331"/>
      <c r="E1701" s="331"/>
      <c r="F1701" s="331"/>
      <c r="G1701" s="355"/>
      <c r="H1701" s="331"/>
    </row>
    <row r="1702" spans="1:9">
      <c r="A1702" s="330"/>
      <c r="B1702" s="354"/>
      <c r="C1702" s="331"/>
      <c r="D1702" s="331"/>
      <c r="E1702" s="331"/>
      <c r="F1702" s="331"/>
      <c r="G1702" s="355"/>
      <c r="H1702" s="331"/>
    </row>
    <row r="1703" spans="1:9">
      <c r="A1703" s="330"/>
      <c r="B1703" s="737"/>
      <c r="C1703" s="738"/>
      <c r="D1703" s="738"/>
      <c r="E1703" s="738"/>
      <c r="F1703" s="331"/>
      <c r="G1703" s="355"/>
      <c r="H1703" s="331"/>
    </row>
    <row r="1704" spans="1:9">
      <c r="A1704" s="330"/>
      <c r="B1704" s="354"/>
      <c r="C1704" s="331"/>
      <c r="D1704" s="331"/>
      <c r="E1704" s="331"/>
      <c r="F1704" s="331"/>
      <c r="G1704" s="355"/>
      <c r="H1704" s="331"/>
    </row>
    <row r="1705" spans="1:9">
      <c r="A1705" s="330"/>
      <c r="B1705" s="354"/>
      <c r="C1705" s="331"/>
      <c r="D1705" s="331"/>
      <c r="E1705" s="331"/>
      <c r="F1705" s="331"/>
      <c r="G1705" s="355"/>
      <c r="H1705" s="331"/>
    </row>
    <row r="1706" spans="1:9" ht="15.75" customHeight="1">
      <c r="A1706" s="330"/>
      <c r="B1706" s="354"/>
      <c r="C1706" s="331"/>
      <c r="D1706" s="751" t="s">
        <v>1946</v>
      </c>
      <c r="E1706" s="751"/>
      <c r="F1706" s="331"/>
      <c r="G1706" s="355"/>
      <c r="H1706" s="331"/>
    </row>
    <row r="1707" spans="1:9" ht="15.75" customHeight="1">
      <c r="A1707" s="330"/>
      <c r="B1707" s="356"/>
      <c r="D1707" s="751"/>
      <c r="E1707" s="751"/>
      <c r="F1707" s="331"/>
      <c r="G1707" s="355"/>
      <c r="H1707" s="331"/>
    </row>
    <row r="1708" spans="1:9" ht="15.75" customHeight="1">
      <c r="A1708" s="330"/>
      <c r="B1708" s="354"/>
      <c r="C1708" s="331"/>
      <c r="D1708" s="751"/>
      <c r="E1708" s="751"/>
      <c r="F1708" s="331"/>
      <c r="G1708" s="355"/>
      <c r="H1708" s="331"/>
    </row>
    <row r="1709" spans="1:9" ht="15.75" customHeight="1">
      <c r="A1709" s="330"/>
      <c r="B1709" s="354"/>
      <c r="C1709" s="331"/>
      <c r="D1709" s="751"/>
      <c r="E1709" s="751"/>
      <c r="F1709" s="331"/>
      <c r="G1709" s="355"/>
      <c r="H1709" s="331"/>
      <c r="I1709" t="s">
        <v>256</v>
      </c>
    </row>
    <row r="1710" spans="1:9" ht="15.75" customHeight="1">
      <c r="A1710" s="330"/>
      <c r="B1710" s="354"/>
      <c r="C1710" s="331"/>
      <c r="D1710" s="751"/>
      <c r="E1710" s="751"/>
      <c r="F1710" s="331"/>
      <c r="G1710" s="355"/>
      <c r="H1710" s="331"/>
    </row>
    <row r="1711" spans="1:9" ht="15.75" customHeight="1">
      <c r="A1711" s="330"/>
      <c r="B1711" s="354"/>
      <c r="C1711" s="331"/>
      <c r="D1711" s="751"/>
      <c r="E1711" s="751"/>
      <c r="F1711" s="331"/>
      <c r="G1711" s="355"/>
      <c r="H1711" s="331"/>
    </row>
    <row r="1712" spans="1:9" ht="15.75" customHeight="1">
      <c r="A1712" s="330"/>
      <c r="B1712" s="354"/>
      <c r="C1712" s="331"/>
      <c r="D1712" s="751"/>
      <c r="E1712" s="751"/>
      <c r="F1712" s="331"/>
      <c r="G1712" s="355"/>
      <c r="H1712" s="331"/>
    </row>
    <row r="1713" spans="1:8" ht="15.75" customHeight="1">
      <c r="A1713" s="330"/>
      <c r="B1713" s="354"/>
      <c r="C1713" s="331"/>
      <c r="D1713" s="751"/>
      <c r="E1713" s="751"/>
      <c r="F1713" s="331"/>
      <c r="G1713" s="355"/>
      <c r="H1713" s="331"/>
    </row>
    <row r="1714" spans="1:8">
      <c r="A1714" s="330"/>
      <c r="B1714" s="356"/>
      <c r="D1714" s="751"/>
      <c r="E1714" s="751"/>
      <c r="F1714" s="331"/>
      <c r="G1714" s="355"/>
      <c r="H1714" s="331"/>
    </row>
    <row r="1715" spans="1:8">
      <c r="A1715" s="330"/>
      <c r="B1715" s="354"/>
      <c r="C1715" s="331"/>
      <c r="D1715" s="751"/>
      <c r="E1715" s="751"/>
      <c r="F1715" s="331"/>
      <c r="G1715" s="355"/>
      <c r="H1715" s="331"/>
    </row>
    <row r="1716" spans="1:8">
      <c r="A1716" s="330"/>
      <c r="B1716" s="354"/>
      <c r="C1716" s="331"/>
      <c r="D1716" s="751"/>
      <c r="E1716" s="751"/>
      <c r="F1716" s="331"/>
      <c r="G1716" s="355"/>
      <c r="H1716" s="333"/>
    </row>
    <row r="1717" spans="1:8">
      <c r="A1717" s="330"/>
      <c r="B1717" s="354"/>
      <c r="C1717" s="331"/>
      <c r="D1717" s="751"/>
      <c r="E1717" s="751"/>
      <c r="F1717" s="331"/>
      <c r="G1717" s="355"/>
      <c r="H1717" s="333"/>
    </row>
    <row r="1718" spans="1:8">
      <c r="A1718" s="330"/>
      <c r="B1718" s="354"/>
      <c r="C1718" s="331"/>
      <c r="D1718" s="751"/>
      <c r="E1718" s="751"/>
      <c r="F1718" s="331"/>
      <c r="G1718" s="355"/>
      <c r="H1718" s="333"/>
    </row>
    <row r="1719" spans="1:8">
      <c r="A1719" s="330"/>
      <c r="B1719" s="354"/>
      <c r="C1719" s="331"/>
      <c r="D1719" s="751"/>
      <c r="E1719" s="751"/>
      <c r="F1719" s="331"/>
      <c r="G1719" s="355"/>
      <c r="H1719" s="333"/>
    </row>
    <row r="1720" spans="1:8">
      <c r="A1720" s="330"/>
      <c r="B1720" s="356"/>
      <c r="G1720" s="357"/>
      <c r="H1720" s="333"/>
    </row>
    <row r="1721" spans="1:8">
      <c r="A1721" s="337"/>
      <c r="B1721" s="752"/>
      <c r="C1721" s="753"/>
      <c r="D1721" s="753"/>
      <c r="E1721" s="753"/>
      <c r="F1721" s="358"/>
      <c r="G1721" s="359"/>
      <c r="H1721" s="360"/>
    </row>
    <row r="1722" spans="1:8">
      <c r="A1722" s="330"/>
      <c r="B1722" s="356"/>
      <c r="G1722" s="357"/>
    </row>
    <row r="1723" spans="1:8">
      <c r="A1723" s="330"/>
      <c r="B1723" s="354"/>
      <c r="C1723" s="331"/>
      <c r="D1723" s="331"/>
      <c r="E1723" s="338"/>
      <c r="F1723" s="338"/>
      <c r="G1723" s="361"/>
      <c r="H1723" s="339"/>
    </row>
    <row r="1724" spans="1:8">
      <c r="A1724" s="330"/>
      <c r="B1724" s="730"/>
      <c r="C1724" s="731"/>
      <c r="D1724" s="731"/>
      <c r="E1724" s="731"/>
      <c r="F1724" s="343"/>
      <c r="G1724" s="362"/>
      <c r="H1724" s="743"/>
    </row>
    <row r="1725" spans="1:8">
      <c r="A1725" s="330"/>
      <c r="B1725" s="730"/>
      <c r="C1725" s="731"/>
      <c r="D1725" s="731"/>
      <c r="E1725" s="731"/>
      <c r="F1725" s="343"/>
      <c r="G1725" s="362"/>
      <c r="H1725" s="743"/>
    </row>
    <row r="1726" spans="1:8">
      <c r="A1726" s="330"/>
      <c r="B1726" s="363"/>
      <c r="C1726" s="343"/>
      <c r="D1726" s="343"/>
      <c r="E1726" s="343"/>
      <c r="F1726" s="343"/>
      <c r="G1726" s="362"/>
      <c r="H1726" s="344"/>
    </row>
    <row r="1727" spans="1:8">
      <c r="A1727" s="330"/>
      <c r="B1727" s="364"/>
      <c r="C1727" s="332"/>
      <c r="D1727" s="332"/>
      <c r="E1727" s="332"/>
      <c r="F1727" s="332"/>
      <c r="G1727" s="365"/>
      <c r="H1727" s="332"/>
    </row>
    <row r="1728" spans="1:8">
      <c r="A1728" s="330"/>
      <c r="B1728" s="737"/>
      <c r="C1728" s="738"/>
      <c r="D1728" s="738"/>
      <c r="E1728" s="738"/>
      <c r="F1728" s="331"/>
      <c r="G1728" s="355"/>
      <c r="H1728" s="345"/>
    </row>
    <row r="1729" spans="1:8">
      <c r="A1729" s="330"/>
      <c r="B1729" s="737"/>
      <c r="C1729" s="738"/>
      <c r="D1729" s="738"/>
      <c r="E1729" s="738"/>
      <c r="F1729" s="331"/>
      <c r="G1729" s="355"/>
      <c r="H1729" s="345"/>
    </row>
    <row r="1730" spans="1:8">
      <c r="A1730" s="330"/>
      <c r="B1730" s="354" t="s">
        <v>775</v>
      </c>
      <c r="C1730" s="331"/>
      <c r="D1730" s="331"/>
      <c r="E1730" s="331"/>
      <c r="F1730" s="331"/>
      <c r="G1730" s="355"/>
      <c r="H1730" s="345"/>
    </row>
    <row r="1731" spans="1:8">
      <c r="A1731" s="330"/>
      <c r="B1731" s="737"/>
      <c r="C1731" s="738"/>
      <c r="D1731" s="738"/>
      <c r="E1731" s="738"/>
      <c r="F1731" s="331"/>
      <c r="G1731" s="355"/>
      <c r="H1731" s="345"/>
    </row>
    <row r="1732" spans="1:8" ht="27.75">
      <c r="A1732" s="330"/>
      <c r="B1732" s="373"/>
      <c r="C1732" s="341"/>
      <c r="D1732" s="739" t="s">
        <v>762</v>
      </c>
      <c r="E1732" s="739"/>
      <c r="F1732" s="330"/>
      <c r="G1732" s="366"/>
      <c r="H1732" s="339"/>
    </row>
    <row r="1733" spans="1:8">
      <c r="A1733" s="330"/>
      <c r="B1733" s="356"/>
      <c r="G1733" s="357"/>
    </row>
    <row r="1734" spans="1:8">
      <c r="A1734" s="330"/>
      <c r="B1734" s="373"/>
      <c r="C1734" s="341"/>
      <c r="D1734" s="733"/>
      <c r="E1734" s="733"/>
      <c r="F1734" s="332"/>
      <c r="G1734" s="365"/>
      <c r="H1734" s="339"/>
    </row>
    <row r="1735" spans="1:8">
      <c r="A1735" s="330"/>
      <c r="B1735" s="356"/>
      <c r="D1735" s="733" t="s">
        <v>801</v>
      </c>
      <c r="E1735" s="733"/>
      <c r="G1735" s="357"/>
    </row>
    <row r="1736" spans="1:8">
      <c r="A1736" s="330"/>
      <c r="B1736" s="730"/>
      <c r="C1736" s="731"/>
      <c r="D1736" s="731"/>
      <c r="E1736" s="338"/>
      <c r="F1736" s="338"/>
      <c r="G1736" s="361"/>
      <c r="H1736" s="331"/>
    </row>
    <row r="1737" spans="1:8">
      <c r="A1737" s="330"/>
      <c r="B1737" s="730"/>
      <c r="C1737" s="731"/>
      <c r="D1737" s="731"/>
      <c r="E1737" s="338"/>
      <c r="F1737" s="338"/>
      <c r="G1737" s="361"/>
      <c r="H1737" s="331"/>
    </row>
    <row r="1738" spans="1:8">
      <c r="A1738" s="330"/>
      <c r="B1738" s="356"/>
      <c r="D1738" s="732" t="s">
        <v>806</v>
      </c>
      <c r="E1738" s="732"/>
      <c r="F1738" s="338"/>
      <c r="G1738" s="361"/>
    </row>
    <row r="1739" spans="1:8">
      <c r="A1739" s="330"/>
      <c r="B1739" s="354"/>
      <c r="C1739" s="331"/>
      <c r="D1739" s="331"/>
      <c r="E1739" s="338"/>
      <c r="F1739" s="338"/>
      <c r="G1739" s="361"/>
      <c r="H1739" s="331"/>
    </row>
    <row r="1740" spans="1:8">
      <c r="A1740" s="330"/>
      <c r="B1740" s="354"/>
      <c r="C1740" s="331"/>
      <c r="D1740" s="733" t="s">
        <v>802</v>
      </c>
      <c r="E1740" s="733"/>
      <c r="F1740" s="338"/>
      <c r="G1740" s="361"/>
      <c r="H1740" s="331"/>
    </row>
    <row r="1741" spans="1:8">
      <c r="A1741" s="330"/>
      <c r="B1741" s="354"/>
      <c r="C1741" s="331"/>
      <c r="D1741" s="734" t="s">
        <v>807</v>
      </c>
      <c r="E1741" s="734"/>
      <c r="F1741" s="338"/>
      <c r="G1741" s="361"/>
      <c r="H1741" s="331"/>
    </row>
    <row r="1742" spans="1:8">
      <c r="A1742" s="330"/>
      <c r="B1742" s="735"/>
      <c r="C1742" s="736"/>
      <c r="D1742" s="736"/>
      <c r="E1742" s="338"/>
      <c r="F1742" s="338"/>
      <c r="G1742" s="361"/>
    </row>
    <row r="1743" spans="1:8">
      <c r="A1743" s="330"/>
      <c r="B1743" s="735"/>
      <c r="C1743" s="736"/>
      <c r="D1743" s="736"/>
      <c r="E1743" s="338"/>
      <c r="F1743" s="338"/>
      <c r="G1743" s="361"/>
    </row>
    <row r="1744" spans="1:8">
      <c r="A1744" s="330"/>
      <c r="B1744" s="354"/>
      <c r="C1744" s="331"/>
      <c r="E1744" s="338"/>
      <c r="F1744" s="338"/>
      <c r="G1744" s="361"/>
    </row>
    <row r="1745" spans="1:8">
      <c r="A1745" s="330"/>
      <c r="B1745" s="737"/>
      <c r="C1745" s="738"/>
      <c r="D1745" s="738"/>
      <c r="E1745" s="338"/>
      <c r="F1745" s="338"/>
      <c r="G1745" s="361"/>
      <c r="H1745" s="331"/>
    </row>
    <row r="1746" spans="1:8">
      <c r="A1746" s="330"/>
      <c r="B1746" s="356"/>
      <c r="E1746" s="338"/>
      <c r="F1746" s="338"/>
      <c r="G1746" s="361"/>
    </row>
    <row r="1747" spans="1:8">
      <c r="A1747" s="330"/>
      <c r="B1747" s="356"/>
      <c r="E1747" s="338"/>
      <c r="F1747" s="338"/>
      <c r="G1747" s="361"/>
    </row>
    <row r="1748" spans="1:8">
      <c r="A1748" s="330"/>
      <c r="B1748" s="356"/>
      <c r="E1748" s="338"/>
      <c r="F1748" s="338"/>
      <c r="G1748" s="361"/>
      <c r="H1748" s="350"/>
    </row>
    <row r="1749" spans="1:8">
      <c r="A1749" s="330"/>
      <c r="B1749" s="356"/>
      <c r="E1749" s="338"/>
      <c r="F1749" s="338"/>
      <c r="G1749" s="361"/>
    </row>
    <row r="1750" spans="1:8">
      <c r="A1750" s="330"/>
      <c r="B1750" s="744"/>
      <c r="C1750" s="745"/>
      <c r="D1750" s="746"/>
      <c r="E1750" s="338"/>
      <c r="F1750" s="338"/>
      <c r="G1750" s="361"/>
      <c r="H1750" s="331"/>
    </row>
    <row r="1751" spans="1:8">
      <c r="A1751" s="330"/>
      <c r="B1751" s="356"/>
      <c r="D1751" s="357"/>
      <c r="E1751" s="338"/>
      <c r="F1751" s="338"/>
      <c r="G1751" s="361"/>
    </row>
    <row r="1752" spans="1:8">
      <c r="A1752" s="330"/>
      <c r="B1752" s="356"/>
      <c r="D1752" s="367" t="s">
        <v>797</v>
      </c>
      <c r="E1752" s="338"/>
      <c r="F1752" s="338"/>
      <c r="G1752" s="361"/>
    </row>
    <row r="1753" spans="1:8">
      <c r="A1753" s="330"/>
      <c r="B1753" s="356"/>
      <c r="D1753" s="357" t="s">
        <v>798</v>
      </c>
      <c r="E1753" s="338"/>
      <c r="F1753" s="338"/>
      <c r="G1753" s="361"/>
      <c r="H1753" s="351"/>
    </row>
    <row r="1754" spans="1:8">
      <c r="A1754" s="330"/>
      <c r="B1754" s="354"/>
      <c r="C1754" s="331"/>
      <c r="D1754" s="355" t="s">
        <v>799</v>
      </c>
      <c r="E1754" s="338"/>
      <c r="F1754" s="338"/>
      <c r="G1754" s="361"/>
      <c r="H1754" s="331"/>
    </row>
    <row r="1755" spans="1:8">
      <c r="A1755" s="330"/>
      <c r="B1755" s="354"/>
      <c r="C1755" s="331"/>
      <c r="D1755" s="355" t="s">
        <v>800</v>
      </c>
      <c r="E1755" s="338"/>
      <c r="F1755" s="338"/>
      <c r="G1755" s="361"/>
      <c r="H1755" s="331"/>
    </row>
    <row r="1756" spans="1:8">
      <c r="A1756" s="330"/>
      <c r="B1756" s="354"/>
      <c r="C1756" s="331"/>
      <c r="D1756" s="355"/>
      <c r="E1756" s="338"/>
      <c r="F1756" s="338"/>
      <c r="G1756" s="361"/>
      <c r="H1756" s="331"/>
    </row>
    <row r="1757" spans="1:8">
      <c r="A1757" s="330"/>
      <c r="B1757" s="354"/>
      <c r="C1757" s="331"/>
      <c r="D1757" s="355"/>
      <c r="E1757" s="338"/>
      <c r="F1757" s="338"/>
      <c r="G1757" s="361"/>
      <c r="H1757" s="331"/>
    </row>
    <row r="1758" spans="1:8">
      <c r="A1758" s="330"/>
      <c r="B1758" s="368"/>
      <c r="C1758" s="369"/>
      <c r="D1758" s="370"/>
      <c r="E1758" s="371"/>
      <c r="F1758" s="371"/>
      <c r="G1758" s="372"/>
      <c r="H1758" s="331"/>
    </row>
    <row r="1759" spans="1:8">
      <c r="A1759" s="330"/>
      <c r="E1759" s="338"/>
      <c r="F1759" s="338"/>
      <c r="G1759" s="338"/>
      <c r="H1759" s="345"/>
    </row>
    <row r="1761" spans="1:9">
      <c r="A1761" s="329"/>
      <c r="E1761" s="338"/>
      <c r="F1761" s="338"/>
      <c r="G1761" s="338"/>
    </row>
    <row r="1762" spans="1:9">
      <c r="A1762" s="330"/>
      <c r="B1762" s="748"/>
      <c r="C1762" s="749"/>
      <c r="D1762" s="749"/>
      <c r="E1762" s="749"/>
      <c r="F1762" s="352"/>
      <c r="G1762" s="353"/>
      <c r="H1762" s="332"/>
    </row>
    <row r="1763" spans="1:9">
      <c r="A1763" s="330"/>
      <c r="B1763" s="354"/>
      <c r="C1763" s="331"/>
      <c r="D1763" s="331"/>
      <c r="E1763" s="331"/>
      <c r="F1763" s="331"/>
      <c r="G1763" s="355"/>
      <c r="H1763" s="331"/>
    </row>
    <row r="1764" spans="1:9">
      <c r="A1764" s="330"/>
      <c r="B1764" s="354"/>
      <c r="C1764" s="331"/>
      <c r="D1764" s="331"/>
      <c r="E1764" s="331"/>
      <c r="F1764" s="331"/>
      <c r="G1764" s="355"/>
      <c r="H1764" s="331"/>
    </row>
    <row r="1765" spans="1:9">
      <c r="A1765" s="330"/>
      <c r="B1765" s="737"/>
      <c r="C1765" s="738"/>
      <c r="D1765" s="738"/>
      <c r="E1765" s="738"/>
      <c r="F1765" s="331"/>
      <c r="G1765" s="355"/>
      <c r="H1765" s="331"/>
    </row>
    <row r="1766" spans="1:9">
      <c r="A1766" s="330"/>
      <c r="B1766" s="354"/>
      <c r="C1766" s="331"/>
      <c r="D1766" s="331"/>
      <c r="E1766" s="331"/>
      <c r="F1766" s="331"/>
      <c r="G1766" s="355"/>
      <c r="H1766" s="331"/>
    </row>
    <row r="1767" spans="1:9">
      <c r="A1767" s="330"/>
      <c r="B1767" s="354"/>
      <c r="C1767" s="331"/>
      <c r="D1767" s="331"/>
      <c r="E1767" s="331"/>
      <c r="F1767" s="331"/>
      <c r="G1767" s="355"/>
      <c r="H1767" s="331"/>
    </row>
    <row r="1768" spans="1:9" ht="15.75" customHeight="1">
      <c r="A1768" s="330"/>
      <c r="B1768" s="354"/>
      <c r="C1768" s="331"/>
      <c r="D1768" s="751" t="s">
        <v>1949</v>
      </c>
      <c r="E1768" s="751"/>
      <c r="F1768" s="331"/>
      <c r="G1768" s="355"/>
      <c r="H1768" s="331"/>
    </row>
    <row r="1769" spans="1:9" ht="15.75" customHeight="1">
      <c r="A1769" s="330"/>
      <c r="B1769" s="356"/>
      <c r="D1769" s="751"/>
      <c r="E1769" s="751"/>
      <c r="F1769" s="331"/>
      <c r="G1769" s="355"/>
      <c r="H1769" s="331"/>
    </row>
    <row r="1770" spans="1:9" ht="15.75" customHeight="1">
      <c r="A1770" s="330"/>
      <c r="B1770" s="354"/>
      <c r="C1770" s="331"/>
      <c r="D1770" s="751"/>
      <c r="E1770" s="751"/>
      <c r="F1770" s="331"/>
      <c r="G1770" s="355"/>
      <c r="H1770" s="331"/>
    </row>
    <row r="1771" spans="1:9" ht="15.75" customHeight="1">
      <c r="A1771" s="330"/>
      <c r="B1771" s="354"/>
      <c r="C1771" s="331"/>
      <c r="D1771" s="751"/>
      <c r="E1771" s="751"/>
      <c r="F1771" s="331"/>
      <c r="G1771" s="355"/>
      <c r="H1771" s="331"/>
      <c r="I1771" t="s">
        <v>256</v>
      </c>
    </row>
    <row r="1772" spans="1:9" ht="15.75" customHeight="1">
      <c r="A1772" s="330"/>
      <c r="B1772" s="354"/>
      <c r="C1772" s="331"/>
      <c r="D1772" s="751"/>
      <c r="E1772" s="751"/>
      <c r="F1772" s="331"/>
      <c r="G1772" s="355"/>
      <c r="H1772" s="331"/>
    </row>
    <row r="1773" spans="1:9" ht="15.75" customHeight="1">
      <c r="A1773" s="330"/>
      <c r="B1773" s="354"/>
      <c r="C1773" s="331"/>
      <c r="D1773" s="751"/>
      <c r="E1773" s="751"/>
      <c r="F1773" s="331"/>
      <c r="G1773" s="355"/>
      <c r="H1773" s="331"/>
    </row>
    <row r="1774" spans="1:9" ht="15.75" customHeight="1">
      <c r="A1774" s="330"/>
      <c r="B1774" s="354"/>
      <c r="C1774" s="331"/>
      <c r="D1774" s="751"/>
      <c r="E1774" s="751"/>
      <c r="F1774" s="331"/>
      <c r="G1774" s="355"/>
      <c r="H1774" s="331"/>
    </row>
    <row r="1775" spans="1:9" ht="15.75" customHeight="1">
      <c r="A1775" s="330"/>
      <c r="B1775" s="354"/>
      <c r="C1775" s="331"/>
      <c r="D1775" s="751"/>
      <c r="E1775" s="751"/>
      <c r="F1775" s="331"/>
      <c r="G1775" s="355"/>
      <c r="H1775" s="331"/>
    </row>
    <row r="1776" spans="1:9">
      <c r="A1776" s="330"/>
      <c r="B1776" s="356"/>
      <c r="D1776" s="751"/>
      <c r="E1776" s="751"/>
      <c r="F1776" s="331"/>
      <c r="G1776" s="355"/>
      <c r="H1776" s="331"/>
    </row>
    <row r="1777" spans="1:8">
      <c r="A1777" s="330"/>
      <c r="B1777" s="354"/>
      <c r="C1777" s="331"/>
      <c r="D1777" s="751"/>
      <c r="E1777" s="751"/>
      <c r="F1777" s="331"/>
      <c r="G1777" s="355"/>
      <c r="H1777" s="331"/>
    </row>
    <row r="1778" spans="1:8">
      <c r="A1778" s="330"/>
      <c r="B1778" s="354"/>
      <c r="C1778" s="331"/>
      <c r="D1778" s="751"/>
      <c r="E1778" s="751"/>
      <c r="F1778" s="331"/>
      <c r="G1778" s="355"/>
      <c r="H1778" s="333"/>
    </row>
    <row r="1779" spans="1:8">
      <c r="A1779" s="330"/>
      <c r="B1779" s="354"/>
      <c r="C1779" s="331"/>
      <c r="D1779" s="751"/>
      <c r="E1779" s="751"/>
      <c r="F1779" s="331"/>
      <c r="G1779" s="355"/>
      <c r="H1779" s="333"/>
    </row>
    <row r="1780" spans="1:8">
      <c r="A1780" s="330"/>
      <c r="B1780" s="354"/>
      <c r="C1780" s="331"/>
      <c r="D1780" s="751"/>
      <c r="E1780" s="751"/>
      <c r="F1780" s="331"/>
      <c r="G1780" s="355"/>
      <c r="H1780" s="333"/>
    </row>
    <row r="1781" spans="1:8">
      <c r="A1781" s="330"/>
      <c r="B1781" s="354"/>
      <c r="C1781" s="331"/>
      <c r="D1781" s="751"/>
      <c r="E1781" s="751"/>
      <c r="F1781" s="331"/>
      <c r="G1781" s="355"/>
      <c r="H1781" s="333"/>
    </row>
    <row r="1782" spans="1:8">
      <c r="A1782" s="330"/>
      <c r="B1782" s="356"/>
      <c r="G1782" s="357"/>
      <c r="H1782" s="333"/>
    </row>
    <row r="1783" spans="1:8">
      <c r="A1783" s="337"/>
      <c r="B1783" s="752"/>
      <c r="C1783" s="753"/>
      <c r="D1783" s="753"/>
      <c r="E1783" s="753"/>
      <c r="F1783" s="358"/>
      <c r="G1783" s="359"/>
      <c r="H1783" s="360"/>
    </row>
    <row r="1784" spans="1:8">
      <c r="A1784" s="330"/>
      <c r="B1784" s="356"/>
      <c r="G1784" s="357"/>
    </row>
    <row r="1785" spans="1:8">
      <c r="A1785" s="330"/>
      <c r="B1785" s="354"/>
      <c r="C1785" s="331"/>
      <c r="D1785" s="331"/>
      <c r="E1785" s="338"/>
      <c r="F1785" s="338"/>
      <c r="G1785" s="361"/>
      <c r="H1785" s="339"/>
    </row>
    <row r="1786" spans="1:8">
      <c r="A1786" s="330"/>
      <c r="B1786" s="730"/>
      <c r="C1786" s="731"/>
      <c r="D1786" s="731"/>
      <c r="E1786" s="731"/>
      <c r="F1786" s="343"/>
      <c r="G1786" s="362"/>
      <c r="H1786" s="743"/>
    </row>
    <row r="1787" spans="1:8">
      <c r="A1787" s="330"/>
      <c r="B1787" s="730"/>
      <c r="C1787" s="731"/>
      <c r="D1787" s="731"/>
      <c r="E1787" s="731"/>
      <c r="F1787" s="343"/>
      <c r="G1787" s="362"/>
      <c r="H1787" s="743"/>
    </row>
    <row r="1788" spans="1:8">
      <c r="A1788" s="330"/>
      <c r="B1788" s="363"/>
      <c r="C1788" s="343"/>
      <c r="D1788" s="343"/>
      <c r="E1788" s="343"/>
      <c r="F1788" s="343"/>
      <c r="G1788" s="362"/>
      <c r="H1788" s="344"/>
    </row>
    <row r="1789" spans="1:8">
      <c r="A1789" s="330"/>
      <c r="B1789" s="364"/>
      <c r="C1789" s="332"/>
      <c r="D1789" s="332"/>
      <c r="E1789" s="332"/>
      <c r="F1789" s="332"/>
      <c r="G1789" s="365"/>
      <c r="H1789" s="332"/>
    </row>
    <row r="1790" spans="1:8">
      <c r="A1790" s="330"/>
      <c r="B1790" s="737"/>
      <c r="C1790" s="738"/>
      <c r="D1790" s="738"/>
      <c r="E1790" s="738"/>
      <c r="F1790" s="331"/>
      <c r="G1790" s="355"/>
      <c r="H1790" s="345"/>
    </row>
    <row r="1791" spans="1:8">
      <c r="A1791" s="330"/>
      <c r="B1791" s="737"/>
      <c r="C1791" s="738"/>
      <c r="D1791" s="738"/>
      <c r="E1791" s="738"/>
      <c r="F1791" s="331"/>
      <c r="G1791" s="355"/>
      <c r="H1791" s="345"/>
    </row>
    <row r="1792" spans="1:8">
      <c r="A1792" s="330"/>
      <c r="B1792" s="354" t="s">
        <v>775</v>
      </c>
      <c r="C1792" s="331"/>
      <c r="D1792" s="331"/>
      <c r="E1792" s="331"/>
      <c r="F1792" s="331"/>
      <c r="G1792" s="355"/>
      <c r="H1792" s="345"/>
    </row>
    <row r="1793" spans="1:8">
      <c r="A1793" s="330"/>
      <c r="B1793" s="737"/>
      <c r="C1793" s="738"/>
      <c r="D1793" s="738"/>
      <c r="E1793" s="738"/>
      <c r="F1793" s="331"/>
      <c r="G1793" s="355"/>
      <c r="H1793" s="345"/>
    </row>
    <row r="1794" spans="1:8" ht="27.75">
      <c r="A1794" s="330"/>
      <c r="B1794" s="373"/>
      <c r="C1794" s="341"/>
      <c r="D1794" s="739" t="s">
        <v>762</v>
      </c>
      <c r="E1794" s="739"/>
      <c r="F1794" s="330"/>
      <c r="G1794" s="366"/>
      <c r="H1794" s="339"/>
    </row>
    <row r="1795" spans="1:8">
      <c r="A1795" s="330"/>
      <c r="B1795" s="356"/>
      <c r="G1795" s="357"/>
    </row>
    <row r="1796" spans="1:8">
      <c r="A1796" s="330"/>
      <c r="B1796" s="373"/>
      <c r="C1796" s="341"/>
      <c r="D1796" s="733"/>
      <c r="E1796" s="733"/>
      <c r="F1796" s="332"/>
      <c r="G1796" s="365"/>
      <c r="H1796" s="339"/>
    </row>
    <row r="1797" spans="1:8">
      <c r="A1797" s="330"/>
      <c r="B1797" s="356"/>
      <c r="D1797" s="733" t="s">
        <v>801</v>
      </c>
      <c r="E1797" s="733"/>
      <c r="G1797" s="357"/>
    </row>
    <row r="1798" spans="1:8">
      <c r="A1798" s="330"/>
      <c r="B1798" s="730"/>
      <c r="C1798" s="731"/>
      <c r="D1798" s="731"/>
      <c r="E1798" s="338"/>
      <c r="F1798" s="338"/>
      <c r="G1798" s="361"/>
      <c r="H1798" s="331"/>
    </row>
    <row r="1799" spans="1:8">
      <c r="A1799" s="330"/>
      <c r="B1799" s="730"/>
      <c r="C1799" s="731"/>
      <c r="D1799" s="731"/>
      <c r="E1799" s="338"/>
      <c r="F1799" s="338"/>
      <c r="G1799" s="361"/>
      <c r="H1799" s="331"/>
    </row>
    <row r="1800" spans="1:8">
      <c r="A1800" s="330"/>
      <c r="B1800" s="356"/>
      <c r="D1800" s="732" t="s">
        <v>806</v>
      </c>
      <c r="E1800" s="732"/>
      <c r="F1800" s="338"/>
      <c r="G1800" s="361"/>
    </row>
    <row r="1801" spans="1:8">
      <c r="A1801" s="330"/>
      <c r="B1801" s="354"/>
      <c r="C1801" s="331"/>
      <c r="D1801" s="331"/>
      <c r="E1801" s="338"/>
      <c r="F1801" s="338"/>
      <c r="G1801" s="361"/>
      <c r="H1801" s="331"/>
    </row>
    <row r="1802" spans="1:8">
      <c r="A1802" s="330"/>
      <c r="B1802" s="354"/>
      <c r="C1802" s="331"/>
      <c r="D1802" s="733" t="s">
        <v>802</v>
      </c>
      <c r="E1802" s="733"/>
      <c r="F1802" s="338"/>
      <c r="G1802" s="361"/>
      <c r="H1802" s="331"/>
    </row>
    <row r="1803" spans="1:8">
      <c r="A1803" s="330"/>
      <c r="B1803" s="354"/>
      <c r="C1803" s="331"/>
      <c r="D1803" s="734" t="s">
        <v>807</v>
      </c>
      <c r="E1803" s="734"/>
      <c r="F1803" s="338"/>
      <c r="G1803" s="361"/>
      <c r="H1803" s="331"/>
    </row>
    <row r="1804" spans="1:8">
      <c r="A1804" s="330"/>
      <c r="B1804" s="735"/>
      <c r="C1804" s="736"/>
      <c r="D1804" s="736"/>
      <c r="E1804" s="338"/>
      <c r="F1804" s="338"/>
      <c r="G1804" s="361"/>
    </row>
    <row r="1805" spans="1:8">
      <c r="A1805" s="330"/>
      <c r="B1805" s="735"/>
      <c r="C1805" s="736"/>
      <c r="D1805" s="736"/>
      <c r="E1805" s="338"/>
      <c r="F1805" s="338"/>
      <c r="G1805" s="361"/>
    </row>
    <row r="1806" spans="1:8">
      <c r="A1806" s="330"/>
      <c r="B1806" s="354"/>
      <c r="C1806" s="331"/>
      <c r="E1806" s="338"/>
      <c r="F1806" s="338"/>
      <c r="G1806" s="361"/>
    </row>
    <row r="1807" spans="1:8">
      <c r="A1807" s="330"/>
      <c r="B1807" s="737"/>
      <c r="C1807" s="738"/>
      <c r="D1807" s="738"/>
      <c r="E1807" s="338"/>
      <c r="F1807" s="338"/>
      <c r="G1807" s="361"/>
      <c r="H1807" s="331"/>
    </row>
    <row r="1808" spans="1:8">
      <c r="A1808" s="330"/>
      <c r="B1808" s="356"/>
      <c r="E1808" s="338"/>
      <c r="F1808" s="338"/>
      <c r="G1808" s="361"/>
    </row>
    <row r="1809" spans="1:8">
      <c r="A1809" s="330"/>
      <c r="B1809" s="356"/>
      <c r="E1809" s="338"/>
      <c r="F1809" s="338"/>
      <c r="G1809" s="361"/>
    </row>
    <row r="1810" spans="1:8">
      <c r="A1810" s="330"/>
      <c r="B1810" s="356"/>
      <c r="E1810" s="338"/>
      <c r="F1810" s="338"/>
      <c r="G1810" s="361"/>
      <c r="H1810" s="350"/>
    </row>
    <row r="1811" spans="1:8">
      <c r="A1811" s="330"/>
      <c r="B1811" s="356"/>
      <c r="E1811" s="338"/>
      <c r="F1811" s="338"/>
      <c r="G1811" s="361"/>
    </row>
    <row r="1812" spans="1:8">
      <c r="A1812" s="330"/>
      <c r="B1812" s="744"/>
      <c r="C1812" s="745"/>
      <c r="D1812" s="746"/>
      <c r="E1812" s="338"/>
      <c r="F1812" s="338"/>
      <c r="G1812" s="361"/>
      <c r="H1812" s="331"/>
    </row>
    <row r="1813" spans="1:8">
      <c r="A1813" s="330"/>
      <c r="B1813" s="356"/>
      <c r="D1813" s="357"/>
      <c r="E1813" s="338"/>
      <c r="F1813" s="338"/>
      <c r="G1813" s="361"/>
    </row>
    <row r="1814" spans="1:8">
      <c r="A1814" s="330"/>
      <c r="B1814" s="356"/>
      <c r="D1814" s="367" t="s">
        <v>797</v>
      </c>
      <c r="E1814" s="338"/>
      <c r="F1814" s="338"/>
      <c r="G1814" s="361"/>
    </row>
    <row r="1815" spans="1:8">
      <c r="A1815" s="330"/>
      <c r="B1815" s="356"/>
      <c r="D1815" s="357" t="s">
        <v>798</v>
      </c>
      <c r="E1815" s="338"/>
      <c r="F1815" s="338"/>
      <c r="G1815" s="361"/>
      <c r="H1815" s="351"/>
    </row>
    <row r="1816" spans="1:8">
      <c r="A1816" s="330"/>
      <c r="B1816" s="354"/>
      <c r="C1816" s="331"/>
      <c r="D1816" s="355" t="s">
        <v>799</v>
      </c>
      <c r="E1816" s="338"/>
      <c r="F1816" s="338"/>
      <c r="G1816" s="361"/>
      <c r="H1816" s="331"/>
    </row>
    <row r="1817" spans="1:8">
      <c r="A1817" s="330"/>
      <c r="B1817" s="354"/>
      <c r="C1817" s="331"/>
      <c r="D1817" s="355" t="s">
        <v>800</v>
      </c>
      <c r="E1817" s="338"/>
      <c r="F1817" s="338"/>
      <c r="G1817" s="361"/>
      <c r="H1817" s="331"/>
    </row>
    <row r="1818" spans="1:8">
      <c r="A1818" s="330"/>
      <c r="B1818" s="354"/>
      <c r="C1818" s="331"/>
      <c r="D1818" s="355"/>
      <c r="E1818" s="338"/>
      <c r="F1818" s="338"/>
      <c r="G1818" s="361"/>
      <c r="H1818" s="331"/>
    </row>
    <row r="1819" spans="1:8">
      <c r="A1819" s="330"/>
      <c r="B1819" s="354"/>
      <c r="C1819" s="331"/>
      <c r="D1819" s="355"/>
      <c r="E1819" s="338"/>
      <c r="F1819" s="338"/>
      <c r="G1819" s="361"/>
      <c r="H1819" s="331"/>
    </row>
    <row r="1820" spans="1:8">
      <c r="A1820" s="330"/>
      <c r="B1820" s="368"/>
      <c r="C1820" s="369"/>
      <c r="D1820" s="370"/>
      <c r="E1820" s="371"/>
      <c r="F1820" s="371"/>
      <c r="G1820" s="372"/>
      <c r="H1820" s="331"/>
    </row>
    <row r="1821" spans="1:8">
      <c r="A1821" s="330"/>
      <c r="E1821" s="338"/>
      <c r="F1821" s="338"/>
      <c r="G1821" s="338"/>
      <c r="H1821" s="345"/>
    </row>
    <row r="1824" spans="1:8">
      <c r="A1824" s="329"/>
      <c r="E1824" s="338"/>
      <c r="F1824" s="338"/>
      <c r="G1824" s="338"/>
    </row>
    <row r="1825" spans="1:9">
      <c r="A1825" s="330"/>
      <c r="B1825" s="748"/>
      <c r="C1825" s="749"/>
      <c r="D1825" s="749"/>
      <c r="E1825" s="749"/>
      <c r="F1825" s="352"/>
      <c r="G1825" s="353"/>
      <c r="H1825" s="332"/>
    </row>
    <row r="1826" spans="1:9">
      <c r="A1826" s="330"/>
      <c r="B1826" s="354"/>
      <c r="C1826" s="331"/>
      <c r="D1826" s="331"/>
      <c r="E1826" s="331"/>
      <c r="F1826" s="331"/>
      <c r="G1826" s="355"/>
      <c r="H1826" s="331"/>
    </row>
    <row r="1827" spans="1:9">
      <c r="A1827" s="330"/>
      <c r="B1827" s="354"/>
      <c r="C1827" s="331"/>
      <c r="D1827" s="331"/>
      <c r="E1827" s="331"/>
      <c r="F1827" s="331"/>
      <c r="G1827" s="355"/>
      <c r="H1827" s="331"/>
    </row>
    <row r="1828" spans="1:9">
      <c r="A1828" s="330"/>
      <c r="B1828" s="737"/>
      <c r="C1828" s="738"/>
      <c r="D1828" s="738"/>
      <c r="E1828" s="738"/>
      <c r="F1828" s="331"/>
      <c r="G1828" s="355"/>
      <c r="H1828" s="331"/>
    </row>
    <row r="1829" spans="1:9">
      <c r="A1829" s="330"/>
      <c r="B1829" s="354"/>
      <c r="C1829" s="331"/>
      <c r="D1829" s="331"/>
      <c r="E1829" s="331"/>
      <c r="F1829" s="331"/>
      <c r="G1829" s="355"/>
      <c r="H1829" s="331"/>
    </row>
    <row r="1830" spans="1:9">
      <c r="A1830" s="330"/>
      <c r="B1830" s="354"/>
      <c r="C1830" s="331"/>
      <c r="D1830" s="331"/>
      <c r="E1830" s="331"/>
      <c r="F1830" s="331"/>
      <c r="G1830" s="355"/>
      <c r="H1830" s="331"/>
    </row>
    <row r="1831" spans="1:9" ht="15.75" customHeight="1">
      <c r="A1831" s="330"/>
      <c r="B1831" s="354"/>
      <c r="C1831" s="331"/>
      <c r="D1831" s="751" t="s">
        <v>1951</v>
      </c>
      <c r="E1831" s="751"/>
      <c r="F1831" s="331"/>
      <c r="G1831" s="355"/>
      <c r="H1831" s="331"/>
    </row>
    <row r="1832" spans="1:9" ht="15.75" customHeight="1">
      <c r="A1832" s="330"/>
      <c r="B1832" s="356"/>
      <c r="D1832" s="751"/>
      <c r="E1832" s="751"/>
      <c r="F1832" s="331"/>
      <c r="G1832" s="355"/>
      <c r="H1832" s="331"/>
    </row>
    <row r="1833" spans="1:9" ht="15.75" customHeight="1">
      <c r="A1833" s="330"/>
      <c r="B1833" s="354"/>
      <c r="C1833" s="331"/>
      <c r="D1833" s="751"/>
      <c r="E1833" s="751"/>
      <c r="F1833" s="331"/>
      <c r="G1833" s="355"/>
      <c r="H1833" s="331"/>
    </row>
    <row r="1834" spans="1:9" ht="15.75" customHeight="1">
      <c r="A1834" s="330"/>
      <c r="B1834" s="354"/>
      <c r="C1834" s="331"/>
      <c r="D1834" s="751"/>
      <c r="E1834" s="751"/>
      <c r="F1834" s="331"/>
      <c r="G1834" s="355"/>
      <c r="H1834" s="331"/>
      <c r="I1834" t="s">
        <v>256</v>
      </c>
    </row>
    <row r="1835" spans="1:9" ht="15.75" customHeight="1">
      <c r="A1835" s="330"/>
      <c r="B1835" s="354"/>
      <c r="C1835" s="331"/>
      <c r="D1835" s="751"/>
      <c r="E1835" s="751"/>
      <c r="F1835" s="331"/>
      <c r="G1835" s="355"/>
      <c r="H1835" s="331"/>
    </row>
    <row r="1836" spans="1:9" ht="15.75" customHeight="1">
      <c r="A1836" s="330"/>
      <c r="B1836" s="354"/>
      <c r="C1836" s="331"/>
      <c r="D1836" s="751"/>
      <c r="E1836" s="751"/>
      <c r="F1836" s="331"/>
      <c r="G1836" s="355"/>
      <c r="H1836" s="331"/>
    </row>
    <row r="1837" spans="1:9" ht="15.75" customHeight="1">
      <c r="A1837" s="330"/>
      <c r="B1837" s="354"/>
      <c r="C1837" s="331"/>
      <c r="D1837" s="751"/>
      <c r="E1837" s="751"/>
      <c r="F1837" s="331"/>
      <c r="G1837" s="355"/>
      <c r="H1837" s="331"/>
    </row>
    <row r="1838" spans="1:9" ht="15.75" customHeight="1">
      <c r="A1838" s="330"/>
      <c r="B1838" s="354"/>
      <c r="C1838" s="331"/>
      <c r="D1838" s="751"/>
      <c r="E1838" s="751"/>
      <c r="F1838" s="331"/>
      <c r="G1838" s="355"/>
      <c r="H1838" s="331"/>
    </row>
    <row r="1839" spans="1:9">
      <c r="A1839" s="330"/>
      <c r="B1839" s="356"/>
      <c r="D1839" s="751"/>
      <c r="E1839" s="751"/>
      <c r="F1839" s="331"/>
      <c r="G1839" s="355"/>
      <c r="H1839" s="331"/>
    </row>
    <row r="1840" spans="1:9">
      <c r="A1840" s="330"/>
      <c r="B1840" s="354"/>
      <c r="C1840" s="331"/>
      <c r="D1840" s="751"/>
      <c r="E1840" s="751"/>
      <c r="F1840" s="331"/>
      <c r="G1840" s="355"/>
      <c r="H1840" s="331"/>
    </row>
    <row r="1841" spans="1:8">
      <c r="A1841" s="330"/>
      <c r="B1841" s="354"/>
      <c r="C1841" s="331"/>
      <c r="D1841" s="751"/>
      <c r="E1841" s="751"/>
      <c r="F1841" s="331"/>
      <c r="G1841" s="355"/>
      <c r="H1841" s="333"/>
    </row>
    <row r="1842" spans="1:8">
      <c r="A1842" s="330"/>
      <c r="B1842" s="354"/>
      <c r="C1842" s="331"/>
      <c r="D1842" s="751"/>
      <c r="E1842" s="751"/>
      <c r="F1842" s="331"/>
      <c r="G1842" s="355"/>
      <c r="H1842" s="333"/>
    </row>
    <row r="1843" spans="1:8">
      <c r="A1843" s="330"/>
      <c r="B1843" s="354"/>
      <c r="C1843" s="331"/>
      <c r="D1843" s="751"/>
      <c r="E1843" s="751"/>
      <c r="F1843" s="331"/>
      <c r="G1843" s="355"/>
      <c r="H1843" s="333"/>
    </row>
    <row r="1844" spans="1:8">
      <c r="A1844" s="330"/>
      <c r="B1844" s="354"/>
      <c r="C1844" s="331"/>
      <c r="D1844" s="751"/>
      <c r="E1844" s="751"/>
      <c r="F1844" s="331"/>
      <c r="G1844" s="355"/>
      <c r="H1844" s="333"/>
    </row>
    <row r="1845" spans="1:8">
      <c r="A1845" s="330"/>
      <c r="B1845" s="356"/>
      <c r="G1845" s="357"/>
      <c r="H1845" s="333"/>
    </row>
    <row r="1846" spans="1:8">
      <c r="A1846" s="337"/>
      <c r="B1846" s="752"/>
      <c r="C1846" s="753"/>
      <c r="D1846" s="753"/>
      <c r="E1846" s="753"/>
      <c r="F1846" s="358"/>
      <c r="G1846" s="359"/>
      <c r="H1846" s="360"/>
    </row>
    <row r="1847" spans="1:8">
      <c r="A1847" s="330"/>
      <c r="B1847" s="356"/>
      <c r="G1847" s="357"/>
    </row>
    <row r="1848" spans="1:8">
      <c r="A1848" s="330"/>
      <c r="B1848" s="354"/>
      <c r="C1848" s="331"/>
      <c r="D1848" s="331"/>
      <c r="E1848" s="338"/>
      <c r="F1848" s="338"/>
      <c r="G1848" s="361"/>
      <c r="H1848" s="339"/>
    </row>
    <row r="1849" spans="1:8">
      <c r="A1849" s="330"/>
      <c r="B1849" s="730"/>
      <c r="C1849" s="731"/>
      <c r="D1849" s="731"/>
      <c r="E1849" s="731"/>
      <c r="F1849" s="343"/>
      <c r="G1849" s="362"/>
      <c r="H1849" s="743"/>
    </row>
    <row r="1850" spans="1:8">
      <c r="A1850" s="330"/>
      <c r="B1850" s="730"/>
      <c r="C1850" s="731"/>
      <c r="D1850" s="731"/>
      <c r="E1850" s="731"/>
      <c r="F1850" s="343"/>
      <c r="G1850" s="362"/>
      <c r="H1850" s="743"/>
    </row>
    <row r="1851" spans="1:8">
      <c r="A1851" s="330"/>
      <c r="B1851" s="363"/>
      <c r="C1851" s="343"/>
      <c r="D1851" s="343"/>
      <c r="E1851" s="343"/>
      <c r="F1851" s="343"/>
      <c r="G1851" s="362"/>
      <c r="H1851" s="344"/>
    </row>
    <row r="1852" spans="1:8">
      <c r="A1852" s="330"/>
      <c r="B1852" s="364"/>
      <c r="C1852" s="332"/>
      <c r="D1852" s="332"/>
      <c r="E1852" s="332"/>
      <c r="F1852" s="332"/>
      <c r="G1852" s="365"/>
      <c r="H1852" s="332"/>
    </row>
    <row r="1853" spans="1:8">
      <c r="A1853" s="330"/>
      <c r="B1853" s="737"/>
      <c r="C1853" s="738"/>
      <c r="D1853" s="738"/>
      <c r="E1853" s="738"/>
      <c r="F1853" s="331"/>
      <c r="G1853" s="355"/>
      <c r="H1853" s="345"/>
    </row>
    <row r="1854" spans="1:8">
      <c r="A1854" s="330"/>
      <c r="B1854" s="737"/>
      <c r="C1854" s="738"/>
      <c r="D1854" s="738"/>
      <c r="E1854" s="738"/>
      <c r="F1854" s="331"/>
      <c r="G1854" s="355"/>
      <c r="H1854" s="345"/>
    </row>
    <row r="1855" spans="1:8">
      <c r="A1855" s="330"/>
      <c r="B1855" s="354" t="s">
        <v>775</v>
      </c>
      <c r="C1855" s="331"/>
      <c r="D1855" s="331"/>
      <c r="E1855" s="331"/>
      <c r="F1855" s="331"/>
      <c r="G1855" s="355"/>
      <c r="H1855" s="345"/>
    </row>
    <row r="1856" spans="1:8">
      <c r="A1856" s="330"/>
      <c r="B1856" s="737"/>
      <c r="C1856" s="738"/>
      <c r="D1856" s="738"/>
      <c r="E1856" s="738"/>
      <c r="F1856" s="331"/>
      <c r="G1856" s="355"/>
      <c r="H1856" s="345"/>
    </row>
    <row r="1857" spans="1:8" ht="27.75">
      <c r="A1857" s="330"/>
      <c r="B1857" s="373"/>
      <c r="C1857" s="341"/>
      <c r="D1857" s="739" t="s">
        <v>762</v>
      </c>
      <c r="E1857" s="739"/>
      <c r="F1857" s="330"/>
      <c r="G1857" s="366"/>
      <c r="H1857" s="339"/>
    </row>
    <row r="1858" spans="1:8">
      <c r="A1858" s="330"/>
      <c r="B1858" s="356"/>
      <c r="G1858" s="357"/>
    </row>
    <row r="1859" spans="1:8">
      <c r="A1859" s="330"/>
      <c r="B1859" s="373"/>
      <c r="C1859" s="341"/>
      <c r="D1859" s="733"/>
      <c r="E1859" s="733"/>
      <c r="F1859" s="332"/>
      <c r="G1859" s="365"/>
      <c r="H1859" s="339"/>
    </row>
    <row r="1860" spans="1:8">
      <c r="A1860" s="330"/>
      <c r="B1860" s="356"/>
      <c r="D1860" s="733" t="s">
        <v>801</v>
      </c>
      <c r="E1860" s="733"/>
      <c r="G1860" s="357"/>
    </row>
    <row r="1861" spans="1:8">
      <c r="A1861" s="330"/>
      <c r="B1861" s="730"/>
      <c r="C1861" s="731"/>
      <c r="D1861" s="731"/>
      <c r="E1861" s="338"/>
      <c r="F1861" s="338"/>
      <c r="G1861" s="361"/>
      <c r="H1861" s="331"/>
    </row>
    <row r="1862" spans="1:8">
      <c r="A1862" s="330"/>
      <c r="B1862" s="730"/>
      <c r="C1862" s="731"/>
      <c r="D1862" s="731"/>
      <c r="E1862" s="338"/>
      <c r="F1862" s="338"/>
      <c r="G1862" s="361"/>
      <c r="H1862" s="331"/>
    </row>
    <row r="1863" spans="1:8">
      <c r="A1863" s="330"/>
      <c r="B1863" s="356"/>
      <c r="D1863" s="732" t="s">
        <v>806</v>
      </c>
      <c r="E1863" s="732"/>
      <c r="F1863" s="338"/>
      <c r="G1863" s="361"/>
    </row>
    <row r="1864" spans="1:8">
      <c r="A1864" s="330"/>
      <c r="B1864" s="354"/>
      <c r="C1864" s="331"/>
      <c r="D1864" s="331"/>
      <c r="E1864" s="338"/>
      <c r="F1864" s="338"/>
      <c r="G1864" s="361"/>
      <c r="H1864" s="331"/>
    </row>
    <row r="1865" spans="1:8">
      <c r="A1865" s="330"/>
      <c r="B1865" s="354"/>
      <c r="C1865" s="331"/>
      <c r="D1865" s="733" t="s">
        <v>802</v>
      </c>
      <c r="E1865" s="733"/>
      <c r="F1865" s="338"/>
      <c r="G1865" s="361"/>
      <c r="H1865" s="331"/>
    </row>
    <row r="1866" spans="1:8">
      <c r="A1866" s="330"/>
      <c r="B1866" s="354"/>
      <c r="C1866" s="331"/>
      <c r="D1866" s="734" t="s">
        <v>807</v>
      </c>
      <c r="E1866" s="734"/>
      <c r="F1866" s="338"/>
      <c r="G1866" s="361"/>
      <c r="H1866" s="331"/>
    </row>
    <row r="1867" spans="1:8">
      <c r="A1867" s="330"/>
      <c r="B1867" s="735"/>
      <c r="C1867" s="736"/>
      <c r="D1867" s="736"/>
      <c r="E1867" s="338"/>
      <c r="F1867" s="338"/>
      <c r="G1867" s="361"/>
    </row>
    <row r="1868" spans="1:8">
      <c r="A1868" s="330"/>
      <c r="B1868" s="735"/>
      <c r="C1868" s="736"/>
      <c r="D1868" s="736"/>
      <c r="E1868" s="338"/>
      <c r="F1868" s="338"/>
      <c r="G1868" s="361"/>
    </row>
    <row r="1869" spans="1:8">
      <c r="A1869" s="330"/>
      <c r="B1869" s="354"/>
      <c r="C1869" s="331"/>
      <c r="E1869" s="338"/>
      <c r="F1869" s="338"/>
      <c r="G1869" s="361"/>
    </row>
    <row r="1870" spans="1:8">
      <c r="A1870" s="330"/>
      <c r="B1870" s="737"/>
      <c r="C1870" s="738"/>
      <c r="D1870" s="738"/>
      <c r="E1870" s="338"/>
      <c r="F1870" s="338"/>
      <c r="G1870" s="361"/>
      <c r="H1870" s="331"/>
    </row>
    <row r="1871" spans="1:8">
      <c r="A1871" s="330"/>
      <c r="B1871" s="356"/>
      <c r="E1871" s="338"/>
      <c r="F1871" s="338"/>
      <c r="G1871" s="361"/>
    </row>
    <row r="1872" spans="1:8">
      <c r="A1872" s="330"/>
      <c r="B1872" s="356"/>
      <c r="E1872" s="338"/>
      <c r="F1872" s="338"/>
      <c r="G1872" s="361"/>
    </row>
    <row r="1873" spans="1:8">
      <c r="A1873" s="330"/>
      <c r="B1873" s="356"/>
      <c r="E1873" s="338"/>
      <c r="F1873" s="338"/>
      <c r="G1873" s="361"/>
      <c r="H1873" s="350"/>
    </row>
    <row r="1874" spans="1:8">
      <c r="A1874" s="330"/>
      <c r="B1874" s="356"/>
      <c r="E1874" s="338"/>
      <c r="F1874" s="338"/>
      <c r="G1874" s="361"/>
    </row>
    <row r="1875" spans="1:8">
      <c r="A1875" s="330"/>
      <c r="B1875" s="744"/>
      <c r="C1875" s="745"/>
      <c r="D1875" s="746"/>
      <c r="E1875" s="338"/>
      <c r="F1875" s="338"/>
      <c r="G1875" s="361"/>
      <c r="H1875" s="331"/>
    </row>
    <row r="1876" spans="1:8">
      <c r="A1876" s="330"/>
      <c r="B1876" s="356"/>
      <c r="D1876" s="357"/>
      <c r="E1876" s="338"/>
      <c r="F1876" s="338"/>
      <c r="G1876" s="361"/>
    </row>
    <row r="1877" spans="1:8">
      <c r="A1877" s="330"/>
      <c r="B1877" s="356"/>
      <c r="D1877" s="367" t="s">
        <v>797</v>
      </c>
      <c r="E1877" s="338"/>
      <c r="F1877" s="338"/>
      <c r="G1877" s="361"/>
    </row>
    <row r="1878" spans="1:8">
      <c r="A1878" s="330"/>
      <c r="B1878" s="356"/>
      <c r="D1878" s="357" t="s">
        <v>798</v>
      </c>
      <c r="E1878" s="338"/>
      <c r="F1878" s="338"/>
      <c r="G1878" s="361"/>
      <c r="H1878" s="351"/>
    </row>
    <row r="1879" spans="1:8">
      <c r="A1879" s="330"/>
      <c r="B1879" s="354"/>
      <c r="C1879" s="331"/>
      <c r="D1879" s="355" t="s">
        <v>799</v>
      </c>
      <c r="E1879" s="338"/>
      <c r="F1879" s="338"/>
      <c r="G1879" s="361"/>
      <c r="H1879" s="331"/>
    </row>
    <row r="1880" spans="1:8">
      <c r="A1880" s="330"/>
      <c r="B1880" s="354"/>
      <c r="C1880" s="331"/>
      <c r="D1880" s="355" t="s">
        <v>800</v>
      </c>
      <c r="E1880" s="338"/>
      <c r="F1880" s="338"/>
      <c r="G1880" s="361"/>
      <c r="H1880" s="331"/>
    </row>
    <row r="1881" spans="1:8">
      <c r="A1881" s="330"/>
      <c r="B1881" s="354"/>
      <c r="C1881" s="331"/>
      <c r="D1881" s="355"/>
      <c r="E1881" s="338"/>
      <c r="F1881" s="338"/>
      <c r="G1881" s="361"/>
      <c r="H1881" s="331"/>
    </row>
    <row r="1882" spans="1:8">
      <c r="A1882" s="330"/>
      <c r="B1882" s="354"/>
      <c r="C1882" s="331"/>
      <c r="D1882" s="355"/>
      <c r="E1882" s="338"/>
      <c r="F1882" s="338"/>
      <c r="G1882" s="361"/>
      <c r="H1882" s="331"/>
    </row>
    <row r="1883" spans="1:8">
      <c r="A1883" s="330"/>
      <c r="B1883" s="368"/>
      <c r="C1883" s="369"/>
      <c r="D1883" s="370"/>
      <c r="E1883" s="371"/>
      <c r="F1883" s="371"/>
      <c r="G1883" s="372"/>
      <c r="H1883" s="331"/>
    </row>
    <row r="1884" spans="1:8">
      <c r="A1884" s="330"/>
      <c r="E1884" s="338"/>
      <c r="F1884" s="338"/>
      <c r="G1884" s="338"/>
      <c r="H1884" s="345"/>
    </row>
    <row r="1886" spans="1:8">
      <c r="A1886" s="329"/>
      <c r="E1886" s="338"/>
      <c r="F1886" s="338"/>
      <c r="G1886" s="338"/>
    </row>
    <row r="1887" spans="1:8">
      <c r="A1887" s="330"/>
      <c r="B1887" s="748"/>
      <c r="C1887" s="749"/>
      <c r="D1887" s="749"/>
      <c r="E1887" s="749"/>
      <c r="F1887" s="352"/>
      <c r="G1887" s="353"/>
      <c r="H1887" s="332"/>
    </row>
    <row r="1888" spans="1:8">
      <c r="A1888" s="330"/>
      <c r="B1888" s="354"/>
      <c r="C1888" s="331"/>
      <c r="D1888" s="331"/>
      <c r="E1888" s="331"/>
      <c r="F1888" s="331"/>
      <c r="G1888" s="355"/>
      <c r="H1888" s="331"/>
    </row>
    <row r="1889" spans="1:9">
      <c r="A1889" s="330"/>
      <c r="B1889" s="354"/>
      <c r="C1889" s="331"/>
      <c r="D1889" s="331"/>
      <c r="E1889" s="331"/>
      <c r="F1889" s="331"/>
      <c r="G1889" s="355"/>
      <c r="H1889" s="331"/>
    </row>
    <row r="1890" spans="1:9">
      <c r="A1890" s="330"/>
      <c r="B1890" s="737"/>
      <c r="C1890" s="738"/>
      <c r="D1890" s="738"/>
      <c r="E1890" s="738"/>
      <c r="F1890" s="331"/>
      <c r="G1890" s="355"/>
      <c r="H1890" s="331"/>
    </row>
    <row r="1891" spans="1:9">
      <c r="A1891" s="330"/>
      <c r="B1891" s="354"/>
      <c r="C1891" s="331"/>
      <c r="D1891" s="331"/>
      <c r="E1891" s="331"/>
      <c r="F1891" s="331"/>
      <c r="G1891" s="355"/>
      <c r="H1891" s="331"/>
    </row>
    <row r="1892" spans="1:9">
      <c r="A1892" s="330"/>
      <c r="B1892" s="354"/>
      <c r="C1892" s="331"/>
      <c r="D1892" s="331"/>
      <c r="E1892" s="331"/>
      <c r="F1892" s="331"/>
      <c r="G1892" s="355"/>
      <c r="H1892" s="331"/>
    </row>
    <row r="1893" spans="1:9" ht="15.75" customHeight="1">
      <c r="A1893" s="330"/>
      <c r="B1893" s="354"/>
      <c r="C1893" s="331"/>
      <c r="D1893" s="751" t="s">
        <v>1989</v>
      </c>
      <c r="E1893" s="751"/>
      <c r="F1893" s="331"/>
      <c r="G1893" s="355"/>
      <c r="H1893" s="331"/>
    </row>
    <row r="1894" spans="1:9" ht="15.75" customHeight="1">
      <c r="A1894" s="330"/>
      <c r="B1894" s="356"/>
      <c r="D1894" s="751"/>
      <c r="E1894" s="751"/>
      <c r="F1894" s="331"/>
      <c r="G1894" s="355"/>
      <c r="H1894" s="331"/>
    </row>
    <row r="1895" spans="1:9" ht="15.75" customHeight="1">
      <c r="A1895" s="330"/>
      <c r="B1895" s="354"/>
      <c r="C1895" s="331"/>
      <c r="D1895" s="751"/>
      <c r="E1895" s="751"/>
      <c r="F1895" s="331"/>
      <c r="G1895" s="355"/>
      <c r="H1895" s="331"/>
    </row>
    <row r="1896" spans="1:9" ht="15.75" customHeight="1">
      <c r="A1896" s="330"/>
      <c r="B1896" s="354"/>
      <c r="C1896" s="331"/>
      <c r="D1896" s="751"/>
      <c r="E1896" s="751"/>
      <c r="F1896" s="331"/>
      <c r="G1896" s="355"/>
      <c r="H1896" s="331"/>
      <c r="I1896" t="s">
        <v>256</v>
      </c>
    </row>
    <row r="1897" spans="1:9" ht="15.75" customHeight="1">
      <c r="A1897" s="330"/>
      <c r="B1897" s="354"/>
      <c r="C1897" s="331"/>
      <c r="D1897" s="751"/>
      <c r="E1897" s="751"/>
      <c r="F1897" s="331"/>
      <c r="G1897" s="355"/>
      <c r="H1897" s="331"/>
    </row>
    <row r="1898" spans="1:9" ht="15.75" customHeight="1">
      <c r="A1898" s="330"/>
      <c r="B1898" s="354"/>
      <c r="C1898" s="331"/>
      <c r="D1898" s="751"/>
      <c r="E1898" s="751"/>
      <c r="F1898" s="331"/>
      <c r="G1898" s="355"/>
      <c r="H1898" s="331"/>
    </row>
    <row r="1899" spans="1:9" ht="15.75" customHeight="1">
      <c r="A1899" s="330"/>
      <c r="B1899" s="354"/>
      <c r="C1899" s="331"/>
      <c r="D1899" s="751"/>
      <c r="E1899" s="751"/>
      <c r="F1899" s="331"/>
      <c r="G1899" s="355"/>
      <c r="H1899" s="331"/>
    </row>
    <row r="1900" spans="1:9" ht="15.75" customHeight="1">
      <c r="A1900" s="330"/>
      <c r="B1900" s="354"/>
      <c r="C1900" s="331"/>
      <c r="D1900" s="751"/>
      <c r="E1900" s="751"/>
      <c r="F1900" s="331"/>
      <c r="G1900" s="355"/>
      <c r="H1900" s="331"/>
    </row>
    <row r="1901" spans="1:9">
      <c r="A1901" s="330"/>
      <c r="B1901" s="356"/>
      <c r="D1901" s="751"/>
      <c r="E1901" s="751"/>
      <c r="F1901" s="331"/>
      <c r="G1901" s="355"/>
      <c r="H1901" s="331"/>
    </row>
    <row r="1902" spans="1:9">
      <c r="A1902" s="330"/>
      <c r="B1902" s="354"/>
      <c r="C1902" s="331"/>
      <c r="D1902" s="751"/>
      <c r="E1902" s="751"/>
      <c r="F1902" s="331"/>
      <c r="G1902" s="355"/>
      <c r="H1902" s="331"/>
    </row>
    <row r="1903" spans="1:9">
      <c r="A1903" s="330"/>
      <c r="B1903" s="354"/>
      <c r="C1903" s="331"/>
      <c r="D1903" s="751"/>
      <c r="E1903" s="751"/>
      <c r="F1903" s="331"/>
      <c r="G1903" s="355"/>
      <c r="H1903" s="333"/>
    </row>
    <row r="1904" spans="1:9">
      <c r="A1904" s="330"/>
      <c r="B1904" s="354"/>
      <c r="C1904" s="331"/>
      <c r="D1904" s="751"/>
      <c r="E1904" s="751"/>
      <c r="F1904" s="331"/>
      <c r="G1904" s="355"/>
      <c r="H1904" s="333"/>
    </row>
    <row r="1905" spans="1:8">
      <c r="A1905" s="330"/>
      <c r="B1905" s="354"/>
      <c r="C1905" s="331"/>
      <c r="D1905" s="751"/>
      <c r="E1905" s="751"/>
      <c r="F1905" s="331"/>
      <c r="G1905" s="355"/>
      <c r="H1905" s="333"/>
    </row>
    <row r="1906" spans="1:8">
      <c r="A1906" s="330"/>
      <c r="B1906" s="354"/>
      <c r="C1906" s="331"/>
      <c r="D1906" s="751"/>
      <c r="E1906" s="751"/>
      <c r="F1906" s="331"/>
      <c r="G1906" s="355"/>
      <c r="H1906" s="333"/>
    </row>
    <row r="1907" spans="1:8">
      <c r="A1907" s="330"/>
      <c r="B1907" s="356"/>
      <c r="G1907" s="357"/>
      <c r="H1907" s="333"/>
    </row>
    <row r="1908" spans="1:8">
      <c r="A1908" s="337"/>
      <c r="B1908" s="752"/>
      <c r="C1908" s="753"/>
      <c r="D1908" s="753"/>
      <c r="E1908" s="753"/>
      <c r="F1908" s="358"/>
      <c r="G1908" s="359"/>
      <c r="H1908" s="360"/>
    </row>
    <row r="1909" spans="1:8">
      <c r="A1909" s="330"/>
      <c r="B1909" s="356"/>
      <c r="G1909" s="357"/>
    </row>
    <row r="1910" spans="1:8">
      <c r="A1910" s="330"/>
      <c r="B1910" s="354"/>
      <c r="C1910" s="331"/>
      <c r="D1910" s="331"/>
      <c r="E1910" s="338"/>
      <c r="F1910" s="338"/>
      <c r="G1910" s="361"/>
      <c r="H1910" s="339"/>
    </row>
    <row r="1911" spans="1:8">
      <c r="A1911" s="330"/>
      <c r="B1911" s="730"/>
      <c r="C1911" s="731"/>
      <c r="D1911" s="731"/>
      <c r="E1911" s="731"/>
      <c r="F1911" s="343"/>
      <c r="G1911" s="362"/>
      <c r="H1911" s="743"/>
    </row>
    <row r="1912" spans="1:8">
      <c r="A1912" s="330"/>
      <c r="B1912" s="730"/>
      <c r="C1912" s="731"/>
      <c r="D1912" s="731"/>
      <c r="E1912" s="731"/>
      <c r="F1912" s="343"/>
      <c r="G1912" s="362"/>
      <c r="H1912" s="743"/>
    </row>
    <row r="1913" spans="1:8">
      <c r="A1913" s="330"/>
      <c r="B1913" s="363"/>
      <c r="C1913" s="343"/>
      <c r="D1913" s="343"/>
      <c r="E1913" s="343"/>
      <c r="F1913" s="343"/>
      <c r="G1913" s="362"/>
      <c r="H1913" s="344"/>
    </row>
    <row r="1914" spans="1:8">
      <c r="A1914" s="330"/>
      <c r="B1914" s="364"/>
      <c r="C1914" s="332"/>
      <c r="D1914" s="332"/>
      <c r="E1914" s="332"/>
      <c r="F1914" s="332"/>
      <c r="G1914" s="365"/>
      <c r="H1914" s="332"/>
    </row>
    <row r="1915" spans="1:8">
      <c r="A1915" s="330"/>
      <c r="B1915" s="737"/>
      <c r="C1915" s="738"/>
      <c r="D1915" s="738"/>
      <c r="E1915" s="738"/>
      <c r="F1915" s="331"/>
      <c r="G1915" s="355"/>
      <c r="H1915" s="345"/>
    </row>
    <row r="1916" spans="1:8">
      <c r="A1916" s="330"/>
      <c r="B1916" s="737"/>
      <c r="C1916" s="738"/>
      <c r="D1916" s="738"/>
      <c r="E1916" s="738"/>
      <c r="F1916" s="331"/>
      <c r="G1916" s="355"/>
      <c r="H1916" s="345"/>
    </row>
    <row r="1917" spans="1:8">
      <c r="A1917" s="330"/>
      <c r="B1917" s="354" t="s">
        <v>775</v>
      </c>
      <c r="C1917" s="331"/>
      <c r="D1917" s="331"/>
      <c r="E1917" s="331"/>
      <c r="F1917" s="331"/>
      <c r="G1917" s="355"/>
      <c r="H1917" s="345"/>
    </row>
    <row r="1918" spans="1:8">
      <c r="A1918" s="330"/>
      <c r="B1918" s="737"/>
      <c r="C1918" s="738"/>
      <c r="D1918" s="738"/>
      <c r="E1918" s="738"/>
      <c r="F1918" s="331"/>
      <c r="G1918" s="355"/>
      <c r="H1918" s="345"/>
    </row>
    <row r="1919" spans="1:8" ht="27.75">
      <c r="A1919" s="330"/>
      <c r="B1919" s="373"/>
      <c r="C1919" s="341"/>
      <c r="D1919" s="739" t="s">
        <v>762</v>
      </c>
      <c r="E1919" s="739"/>
      <c r="F1919" s="330"/>
      <c r="G1919" s="366"/>
      <c r="H1919" s="339"/>
    </row>
    <row r="1920" spans="1:8">
      <c r="A1920" s="330"/>
      <c r="B1920" s="356"/>
      <c r="G1920" s="357"/>
    </row>
    <row r="1921" spans="1:8">
      <c r="A1921" s="330"/>
      <c r="B1921" s="373"/>
      <c r="C1921" s="341"/>
      <c r="D1921" s="733"/>
      <c r="E1921" s="733"/>
      <c r="F1921" s="332"/>
      <c r="G1921" s="365"/>
      <c r="H1921" s="339"/>
    </row>
    <row r="1922" spans="1:8">
      <c r="A1922" s="330"/>
      <c r="B1922" s="356"/>
      <c r="D1922" s="733" t="s">
        <v>801</v>
      </c>
      <c r="E1922" s="733"/>
      <c r="G1922" s="357"/>
    </row>
    <row r="1923" spans="1:8">
      <c r="A1923" s="330"/>
      <c r="B1923" s="730"/>
      <c r="C1923" s="731"/>
      <c r="D1923" s="731"/>
      <c r="E1923" s="338"/>
      <c r="F1923" s="338"/>
      <c r="G1923" s="361"/>
      <c r="H1923" s="331"/>
    </row>
    <row r="1924" spans="1:8">
      <c r="A1924" s="330"/>
      <c r="B1924" s="730"/>
      <c r="C1924" s="731"/>
      <c r="D1924" s="731"/>
      <c r="E1924" s="338"/>
      <c r="F1924" s="338"/>
      <c r="G1924" s="361"/>
      <c r="H1924" s="331"/>
    </row>
    <row r="1925" spans="1:8">
      <c r="A1925" s="330"/>
      <c r="B1925" s="356"/>
      <c r="D1925" s="732" t="s">
        <v>806</v>
      </c>
      <c r="E1925" s="732"/>
      <c r="F1925" s="338"/>
      <c r="G1925" s="361"/>
    </row>
    <row r="1926" spans="1:8">
      <c r="A1926" s="330"/>
      <c r="B1926" s="354"/>
      <c r="C1926" s="331"/>
      <c r="D1926" s="331"/>
      <c r="E1926" s="338"/>
      <c r="F1926" s="338"/>
      <c r="G1926" s="361"/>
      <c r="H1926" s="331"/>
    </row>
    <row r="1927" spans="1:8">
      <c r="A1927" s="330"/>
      <c r="B1927" s="354"/>
      <c r="C1927" s="331"/>
      <c r="D1927" s="733" t="s">
        <v>802</v>
      </c>
      <c r="E1927" s="733"/>
      <c r="F1927" s="338"/>
      <c r="G1927" s="361"/>
      <c r="H1927" s="331"/>
    </row>
    <row r="1928" spans="1:8">
      <c r="A1928" s="330"/>
      <c r="B1928" s="354"/>
      <c r="C1928" s="331"/>
      <c r="D1928" s="734" t="s">
        <v>807</v>
      </c>
      <c r="E1928" s="734"/>
      <c r="F1928" s="338"/>
      <c r="G1928" s="361"/>
      <c r="H1928" s="331"/>
    </row>
    <row r="1929" spans="1:8">
      <c r="A1929" s="330"/>
      <c r="B1929" s="735"/>
      <c r="C1929" s="736"/>
      <c r="D1929" s="736"/>
      <c r="E1929" s="338"/>
      <c r="F1929" s="338"/>
      <c r="G1929" s="361"/>
    </row>
    <row r="1930" spans="1:8">
      <c r="A1930" s="330"/>
      <c r="B1930" s="735"/>
      <c r="C1930" s="736"/>
      <c r="D1930" s="736"/>
      <c r="E1930" s="338"/>
      <c r="F1930" s="338"/>
      <c r="G1930" s="361"/>
    </row>
    <row r="1931" spans="1:8">
      <c r="A1931" s="330"/>
      <c r="B1931" s="354"/>
      <c r="C1931" s="331"/>
      <c r="E1931" s="338"/>
      <c r="F1931" s="338"/>
      <c r="G1931" s="361"/>
    </row>
    <row r="1932" spans="1:8">
      <c r="A1932" s="330"/>
      <c r="B1932" s="737"/>
      <c r="C1932" s="738"/>
      <c r="D1932" s="738"/>
      <c r="E1932" s="338"/>
      <c r="F1932" s="338"/>
      <c r="G1932" s="361"/>
      <c r="H1932" s="331"/>
    </row>
    <row r="1933" spans="1:8">
      <c r="A1933" s="330"/>
      <c r="B1933" s="356"/>
      <c r="E1933" s="338"/>
      <c r="F1933" s="338"/>
      <c r="G1933" s="361"/>
    </row>
    <row r="1934" spans="1:8">
      <c r="A1934" s="330"/>
      <c r="B1934" s="356"/>
      <c r="E1934" s="338"/>
      <c r="F1934" s="338"/>
      <c r="G1934" s="361"/>
    </row>
    <row r="1935" spans="1:8">
      <c r="A1935" s="330"/>
      <c r="B1935" s="356"/>
      <c r="E1935" s="338"/>
      <c r="F1935" s="338"/>
      <c r="G1935" s="361"/>
      <c r="H1935" s="350"/>
    </row>
    <row r="1936" spans="1:8">
      <c r="A1936" s="330"/>
      <c r="B1936" s="356"/>
      <c r="E1936" s="338"/>
      <c r="F1936" s="338"/>
      <c r="G1936" s="361"/>
    </row>
    <row r="1937" spans="1:8">
      <c r="A1937" s="330"/>
      <c r="B1937" s="744"/>
      <c r="C1937" s="745"/>
      <c r="D1937" s="746"/>
      <c r="E1937" s="338"/>
      <c r="F1937" s="338"/>
      <c r="G1937" s="361"/>
      <c r="H1937" s="331"/>
    </row>
    <row r="1938" spans="1:8">
      <c r="A1938" s="330"/>
      <c r="B1938" s="356"/>
      <c r="D1938" s="357"/>
      <c r="E1938" s="338"/>
      <c r="F1938" s="338"/>
      <c r="G1938" s="361"/>
    </row>
    <row r="1939" spans="1:8">
      <c r="A1939" s="330"/>
      <c r="B1939" s="356"/>
      <c r="D1939" s="367" t="s">
        <v>797</v>
      </c>
      <c r="E1939" s="338"/>
      <c r="F1939" s="338"/>
      <c r="G1939" s="361"/>
    </row>
    <row r="1940" spans="1:8">
      <c r="A1940" s="330"/>
      <c r="B1940" s="356"/>
      <c r="D1940" s="357" t="s">
        <v>798</v>
      </c>
      <c r="E1940" s="338"/>
      <c r="F1940" s="338"/>
      <c r="G1940" s="361"/>
      <c r="H1940" s="351"/>
    </row>
    <row r="1941" spans="1:8">
      <c r="A1941" s="330"/>
      <c r="B1941" s="354"/>
      <c r="C1941" s="331"/>
      <c r="D1941" s="355" t="s">
        <v>799</v>
      </c>
      <c r="E1941" s="338"/>
      <c r="F1941" s="338"/>
      <c r="G1941" s="361"/>
      <c r="H1941" s="331"/>
    </row>
    <row r="1942" spans="1:8">
      <c r="A1942" s="330"/>
      <c r="B1942" s="354"/>
      <c r="C1942" s="331"/>
      <c r="D1942" s="355" t="s">
        <v>800</v>
      </c>
      <c r="E1942" s="338"/>
      <c r="F1942" s="338"/>
      <c r="G1942" s="361"/>
      <c r="H1942" s="331"/>
    </row>
    <row r="1943" spans="1:8">
      <c r="A1943" s="330"/>
      <c r="B1943" s="354"/>
      <c r="C1943" s="331"/>
      <c r="D1943" s="355"/>
      <c r="E1943" s="338"/>
      <c r="F1943" s="338"/>
      <c r="G1943" s="361"/>
      <c r="H1943" s="331"/>
    </row>
    <row r="1944" spans="1:8">
      <c r="A1944" s="330"/>
      <c r="B1944" s="354"/>
      <c r="C1944" s="331"/>
      <c r="D1944" s="355"/>
      <c r="E1944" s="338"/>
      <c r="F1944" s="338"/>
      <c r="G1944" s="361"/>
      <c r="H1944" s="331"/>
    </row>
    <row r="1945" spans="1:8">
      <c r="A1945" s="330"/>
      <c r="B1945" s="368"/>
      <c r="C1945" s="369"/>
      <c r="D1945" s="370"/>
      <c r="E1945" s="371"/>
      <c r="F1945" s="371"/>
      <c r="G1945" s="372"/>
      <c r="H1945" s="331"/>
    </row>
    <row r="1946" spans="1:8">
      <c r="A1946" s="330"/>
      <c r="E1946" s="338"/>
      <c r="F1946" s="338"/>
      <c r="G1946" s="338"/>
      <c r="H1946" s="345"/>
    </row>
    <row r="1948" spans="1:8">
      <c r="A1948" s="329"/>
      <c r="E1948" s="338"/>
      <c r="F1948" s="338"/>
      <c r="G1948" s="338"/>
    </row>
    <row r="1949" spans="1:8">
      <c r="A1949" s="330"/>
      <c r="B1949" s="748"/>
      <c r="C1949" s="749"/>
      <c r="D1949" s="749"/>
      <c r="E1949" s="749"/>
      <c r="F1949" s="352"/>
      <c r="G1949" s="353"/>
      <c r="H1949" s="332"/>
    </row>
    <row r="1950" spans="1:8">
      <c r="A1950" s="330"/>
      <c r="B1950" s="354"/>
      <c r="C1950" s="331"/>
      <c r="D1950" s="331"/>
      <c r="E1950" s="331"/>
      <c r="F1950" s="331"/>
      <c r="G1950" s="355"/>
      <c r="H1950" s="331"/>
    </row>
    <row r="1951" spans="1:8">
      <c r="A1951" s="330"/>
      <c r="B1951" s="354"/>
      <c r="C1951" s="331"/>
      <c r="D1951" s="331"/>
      <c r="E1951" s="331"/>
      <c r="F1951" s="331"/>
      <c r="G1951" s="355"/>
      <c r="H1951" s="331"/>
    </row>
    <row r="1952" spans="1:8">
      <c r="A1952" s="330"/>
      <c r="B1952" s="737"/>
      <c r="C1952" s="738"/>
      <c r="D1952" s="738"/>
      <c r="E1952" s="738"/>
      <c r="F1952" s="331"/>
      <c r="G1952" s="355"/>
      <c r="H1952" s="331"/>
    </row>
    <row r="1953" spans="1:9">
      <c r="A1953" s="330"/>
      <c r="B1953" s="354"/>
      <c r="C1953" s="331"/>
      <c r="D1953" s="331"/>
      <c r="E1953" s="331"/>
      <c r="F1953" s="331"/>
      <c r="G1953" s="355"/>
      <c r="H1953" s="331"/>
    </row>
    <row r="1954" spans="1:9">
      <c r="A1954" s="330"/>
      <c r="B1954" s="354"/>
      <c r="C1954" s="331"/>
      <c r="D1954" s="331"/>
      <c r="E1954" s="331"/>
      <c r="F1954" s="331"/>
      <c r="G1954" s="355"/>
      <c r="H1954" s="331"/>
    </row>
    <row r="1955" spans="1:9" ht="15.75" customHeight="1">
      <c r="A1955" s="330"/>
      <c r="B1955" s="354"/>
      <c r="C1955" s="331"/>
      <c r="D1955" s="751" t="s">
        <v>1990</v>
      </c>
      <c r="E1955" s="751"/>
      <c r="F1955" s="331"/>
      <c r="G1955" s="355"/>
      <c r="H1955" s="331"/>
    </row>
    <row r="1956" spans="1:9" ht="15.75" customHeight="1">
      <c r="A1956" s="330"/>
      <c r="B1956" s="356"/>
      <c r="D1956" s="751"/>
      <c r="E1956" s="751"/>
      <c r="F1956" s="331"/>
      <c r="G1956" s="355"/>
      <c r="H1956" s="331"/>
    </row>
    <row r="1957" spans="1:9" ht="15.75" customHeight="1">
      <c r="A1957" s="330"/>
      <c r="B1957" s="354"/>
      <c r="C1957" s="331"/>
      <c r="D1957" s="751"/>
      <c r="E1957" s="751"/>
      <c r="F1957" s="331"/>
      <c r="G1957" s="355"/>
      <c r="H1957" s="331"/>
    </row>
    <row r="1958" spans="1:9" ht="15.75" customHeight="1">
      <c r="A1958" s="330"/>
      <c r="B1958" s="354"/>
      <c r="C1958" s="331"/>
      <c r="D1958" s="751"/>
      <c r="E1958" s="751"/>
      <c r="F1958" s="331"/>
      <c r="G1958" s="355"/>
      <c r="H1958" s="331"/>
      <c r="I1958" t="s">
        <v>256</v>
      </c>
    </row>
    <row r="1959" spans="1:9" ht="15.75" customHeight="1">
      <c r="A1959" s="330"/>
      <c r="B1959" s="354"/>
      <c r="C1959" s="331"/>
      <c r="D1959" s="751"/>
      <c r="E1959" s="751"/>
      <c r="F1959" s="331"/>
      <c r="G1959" s="355"/>
      <c r="H1959" s="331"/>
    </row>
    <row r="1960" spans="1:9" ht="15.75" customHeight="1">
      <c r="A1960" s="330"/>
      <c r="B1960" s="354"/>
      <c r="C1960" s="331"/>
      <c r="D1960" s="751"/>
      <c r="E1960" s="751"/>
      <c r="F1960" s="331"/>
      <c r="G1960" s="355"/>
      <c r="H1960" s="331"/>
    </row>
    <row r="1961" spans="1:9" ht="15.75" customHeight="1">
      <c r="A1961" s="330"/>
      <c r="B1961" s="354"/>
      <c r="C1961" s="331"/>
      <c r="D1961" s="751"/>
      <c r="E1961" s="751"/>
      <c r="F1961" s="331"/>
      <c r="G1961" s="355"/>
      <c r="H1961" s="331"/>
    </row>
    <row r="1962" spans="1:9" ht="15.75" customHeight="1">
      <c r="A1962" s="330"/>
      <c r="B1962" s="354"/>
      <c r="C1962" s="331"/>
      <c r="D1962" s="751"/>
      <c r="E1962" s="751"/>
      <c r="F1962" s="331"/>
      <c r="G1962" s="355"/>
      <c r="H1962" s="331"/>
    </row>
    <row r="1963" spans="1:9">
      <c r="A1963" s="330"/>
      <c r="B1963" s="356"/>
      <c r="D1963" s="751"/>
      <c r="E1963" s="751"/>
      <c r="F1963" s="331"/>
      <c r="G1963" s="355"/>
      <c r="H1963" s="331"/>
    </row>
    <row r="1964" spans="1:9">
      <c r="A1964" s="330"/>
      <c r="B1964" s="354"/>
      <c r="C1964" s="331"/>
      <c r="D1964" s="751"/>
      <c r="E1964" s="751"/>
      <c r="F1964" s="331"/>
      <c r="G1964" s="355"/>
      <c r="H1964" s="331"/>
    </row>
    <row r="1965" spans="1:9">
      <c r="A1965" s="330"/>
      <c r="B1965" s="354"/>
      <c r="C1965" s="331"/>
      <c r="D1965" s="751"/>
      <c r="E1965" s="751"/>
      <c r="F1965" s="331"/>
      <c r="G1965" s="355"/>
      <c r="H1965" s="333"/>
    </row>
    <row r="1966" spans="1:9">
      <c r="A1966" s="330"/>
      <c r="B1966" s="354"/>
      <c r="C1966" s="331"/>
      <c r="D1966" s="751"/>
      <c r="E1966" s="751"/>
      <c r="F1966" s="331"/>
      <c r="G1966" s="355"/>
      <c r="H1966" s="333"/>
    </row>
    <row r="1967" spans="1:9">
      <c r="A1967" s="330"/>
      <c r="B1967" s="354"/>
      <c r="C1967" s="331"/>
      <c r="D1967" s="751"/>
      <c r="E1967" s="751"/>
      <c r="F1967" s="331"/>
      <c r="G1967" s="355"/>
      <c r="H1967" s="333"/>
    </row>
    <row r="1968" spans="1:9">
      <c r="A1968" s="330"/>
      <c r="B1968" s="354"/>
      <c r="C1968" s="331"/>
      <c r="D1968" s="751"/>
      <c r="E1968" s="751"/>
      <c r="F1968" s="331"/>
      <c r="G1968" s="355"/>
      <c r="H1968" s="333"/>
    </row>
    <row r="1969" spans="1:8">
      <c r="A1969" s="330"/>
      <c r="B1969" s="356"/>
      <c r="G1969" s="357"/>
      <c r="H1969" s="333"/>
    </row>
    <row r="1970" spans="1:8">
      <c r="A1970" s="337"/>
      <c r="B1970" s="752"/>
      <c r="C1970" s="753"/>
      <c r="D1970" s="753"/>
      <c r="E1970" s="753"/>
      <c r="F1970" s="358"/>
      <c r="G1970" s="359"/>
      <c r="H1970" s="360"/>
    </row>
    <row r="1971" spans="1:8">
      <c r="A1971" s="330"/>
      <c r="B1971" s="356"/>
      <c r="G1971" s="357"/>
    </row>
    <row r="1972" spans="1:8">
      <c r="A1972" s="330"/>
      <c r="B1972" s="354"/>
      <c r="C1972" s="331"/>
      <c r="D1972" s="331"/>
      <c r="E1972" s="338"/>
      <c r="F1972" s="338"/>
      <c r="G1972" s="361"/>
      <c r="H1972" s="339"/>
    </row>
    <row r="1973" spans="1:8">
      <c r="A1973" s="330"/>
      <c r="B1973" s="730"/>
      <c r="C1973" s="731"/>
      <c r="D1973" s="731"/>
      <c r="E1973" s="731"/>
      <c r="F1973" s="343"/>
      <c r="G1973" s="362"/>
      <c r="H1973" s="743"/>
    </row>
    <row r="1974" spans="1:8">
      <c r="A1974" s="330"/>
      <c r="B1974" s="730"/>
      <c r="C1974" s="731"/>
      <c r="D1974" s="731"/>
      <c r="E1974" s="731"/>
      <c r="F1974" s="343"/>
      <c r="G1974" s="362"/>
      <c r="H1974" s="743"/>
    </row>
    <row r="1975" spans="1:8">
      <c r="A1975" s="330"/>
      <c r="B1975" s="363"/>
      <c r="C1975" s="343"/>
      <c r="D1975" s="343"/>
      <c r="E1975" s="343"/>
      <c r="F1975" s="343"/>
      <c r="G1975" s="362"/>
      <c r="H1975" s="344"/>
    </row>
    <row r="1976" spans="1:8">
      <c r="A1976" s="330"/>
      <c r="B1976" s="364"/>
      <c r="C1976" s="332"/>
      <c r="D1976" s="332"/>
      <c r="E1976" s="332"/>
      <c r="F1976" s="332"/>
      <c r="G1976" s="365"/>
      <c r="H1976" s="332"/>
    </row>
    <row r="1977" spans="1:8">
      <c r="A1977" s="330"/>
      <c r="B1977" s="737"/>
      <c r="C1977" s="738"/>
      <c r="D1977" s="738"/>
      <c r="E1977" s="738"/>
      <c r="F1977" s="331"/>
      <c r="G1977" s="355"/>
      <c r="H1977" s="345"/>
    </row>
    <row r="1978" spans="1:8">
      <c r="A1978" s="330"/>
      <c r="B1978" s="737"/>
      <c r="C1978" s="738"/>
      <c r="D1978" s="738"/>
      <c r="E1978" s="738"/>
      <c r="F1978" s="331"/>
      <c r="G1978" s="355"/>
      <c r="H1978" s="345"/>
    </row>
    <row r="1979" spans="1:8">
      <c r="A1979" s="330"/>
      <c r="B1979" s="354" t="s">
        <v>775</v>
      </c>
      <c r="C1979" s="331"/>
      <c r="D1979" s="331"/>
      <c r="E1979" s="331"/>
      <c r="F1979" s="331"/>
      <c r="G1979" s="355"/>
      <c r="H1979" s="345"/>
    </row>
    <row r="1980" spans="1:8">
      <c r="A1980" s="330"/>
      <c r="B1980" s="737"/>
      <c r="C1980" s="738"/>
      <c r="D1980" s="738"/>
      <c r="E1980" s="738"/>
      <c r="F1980" s="331"/>
      <c r="G1980" s="355"/>
      <c r="H1980" s="345"/>
    </row>
    <row r="1981" spans="1:8" ht="27.75">
      <c r="A1981" s="330"/>
      <c r="B1981" s="373"/>
      <c r="C1981" s="341"/>
      <c r="D1981" s="739" t="s">
        <v>762</v>
      </c>
      <c r="E1981" s="739"/>
      <c r="F1981" s="330"/>
      <c r="G1981" s="366"/>
      <c r="H1981" s="339"/>
    </row>
    <row r="1982" spans="1:8">
      <c r="A1982" s="330"/>
      <c r="B1982" s="356"/>
      <c r="G1982" s="357"/>
    </row>
    <row r="1983" spans="1:8">
      <c r="A1983" s="330"/>
      <c r="B1983" s="373"/>
      <c r="C1983" s="341"/>
      <c r="D1983" s="733"/>
      <c r="E1983" s="733"/>
      <c r="F1983" s="332"/>
      <c r="G1983" s="365"/>
      <c r="H1983" s="339"/>
    </row>
    <row r="1984" spans="1:8">
      <c r="A1984" s="330"/>
      <c r="B1984" s="356"/>
      <c r="D1984" s="733" t="s">
        <v>801</v>
      </c>
      <c r="E1984" s="733"/>
      <c r="G1984" s="357"/>
    </row>
    <row r="1985" spans="1:8">
      <c r="A1985" s="330"/>
      <c r="B1985" s="730"/>
      <c r="C1985" s="731"/>
      <c r="D1985" s="731"/>
      <c r="E1985" s="338"/>
      <c r="F1985" s="338"/>
      <c r="G1985" s="361"/>
      <c r="H1985" s="331"/>
    </row>
    <row r="1986" spans="1:8">
      <c r="A1986" s="330"/>
      <c r="B1986" s="730"/>
      <c r="C1986" s="731"/>
      <c r="D1986" s="731"/>
      <c r="E1986" s="338"/>
      <c r="F1986" s="338"/>
      <c r="G1986" s="361"/>
      <c r="H1986" s="331"/>
    </row>
    <row r="1987" spans="1:8">
      <c r="A1987" s="330"/>
      <c r="B1987" s="356"/>
      <c r="D1987" s="732" t="s">
        <v>806</v>
      </c>
      <c r="E1987" s="732"/>
      <c r="F1987" s="338"/>
      <c r="G1987" s="361"/>
    </row>
    <row r="1988" spans="1:8">
      <c r="A1988" s="330"/>
      <c r="B1988" s="354"/>
      <c r="C1988" s="331"/>
      <c r="D1988" s="331"/>
      <c r="E1988" s="338"/>
      <c r="F1988" s="338"/>
      <c r="G1988" s="361"/>
      <c r="H1988" s="331"/>
    </row>
    <row r="1989" spans="1:8">
      <c r="A1989" s="330"/>
      <c r="B1989" s="354"/>
      <c r="C1989" s="331"/>
      <c r="D1989" s="733" t="s">
        <v>802</v>
      </c>
      <c r="E1989" s="733"/>
      <c r="F1989" s="338"/>
      <c r="G1989" s="361"/>
      <c r="H1989" s="331"/>
    </row>
    <row r="1990" spans="1:8">
      <c r="A1990" s="330"/>
      <c r="B1990" s="354"/>
      <c r="C1990" s="331"/>
      <c r="D1990" s="734" t="s">
        <v>807</v>
      </c>
      <c r="E1990" s="734"/>
      <c r="F1990" s="338"/>
      <c r="G1990" s="361"/>
      <c r="H1990" s="331"/>
    </row>
    <row r="1991" spans="1:8">
      <c r="A1991" s="330"/>
      <c r="B1991" s="735"/>
      <c r="C1991" s="736"/>
      <c r="D1991" s="736"/>
      <c r="E1991" s="338"/>
      <c r="F1991" s="338"/>
      <c r="G1991" s="361"/>
    </row>
    <row r="1992" spans="1:8">
      <c r="A1992" s="330"/>
      <c r="B1992" s="735"/>
      <c r="C1992" s="736"/>
      <c r="D1992" s="736"/>
      <c r="E1992" s="338"/>
      <c r="F1992" s="338"/>
      <c r="G1992" s="361"/>
    </row>
    <row r="1993" spans="1:8">
      <c r="A1993" s="330"/>
      <c r="B1993" s="354"/>
      <c r="C1993" s="331"/>
      <c r="E1993" s="338"/>
      <c r="F1993" s="338"/>
      <c r="G1993" s="361"/>
    </row>
    <row r="1994" spans="1:8">
      <c r="A1994" s="330"/>
      <c r="B1994" s="737"/>
      <c r="C1994" s="738"/>
      <c r="D1994" s="738"/>
      <c r="E1994" s="338"/>
      <c r="F1994" s="338"/>
      <c r="G1994" s="361"/>
      <c r="H1994" s="331"/>
    </row>
    <row r="1995" spans="1:8">
      <c r="A1995" s="330"/>
      <c r="B1995" s="356"/>
      <c r="E1995" s="338"/>
      <c r="F1995" s="338"/>
      <c r="G1995" s="361"/>
    </row>
    <row r="1996" spans="1:8">
      <c r="A1996" s="330"/>
      <c r="B1996" s="356"/>
      <c r="E1996" s="338"/>
      <c r="F1996" s="338"/>
      <c r="G1996" s="361"/>
    </row>
    <row r="1997" spans="1:8">
      <c r="A1997" s="330"/>
      <c r="B1997" s="356"/>
      <c r="E1997" s="338"/>
      <c r="F1997" s="338"/>
      <c r="G1997" s="361"/>
      <c r="H1997" s="350"/>
    </row>
    <row r="1998" spans="1:8">
      <c r="A1998" s="330"/>
      <c r="B1998" s="356"/>
      <c r="E1998" s="338"/>
      <c r="F1998" s="338"/>
      <c r="G1998" s="361"/>
    </row>
    <row r="1999" spans="1:8">
      <c r="A1999" s="330"/>
      <c r="B1999" s="744"/>
      <c r="C1999" s="745"/>
      <c r="D1999" s="746"/>
      <c r="E1999" s="338"/>
      <c r="F1999" s="338"/>
      <c r="G1999" s="361"/>
      <c r="H1999" s="331"/>
    </row>
    <row r="2000" spans="1:8">
      <c r="A2000" s="330"/>
      <c r="B2000" s="356"/>
      <c r="D2000" s="357"/>
      <c r="E2000" s="338"/>
      <c r="F2000" s="338"/>
      <c r="G2000" s="361"/>
    </row>
    <row r="2001" spans="1:8">
      <c r="A2001" s="330"/>
      <c r="B2001" s="356"/>
      <c r="D2001" s="367" t="s">
        <v>797</v>
      </c>
      <c r="E2001" s="338"/>
      <c r="F2001" s="338"/>
      <c r="G2001" s="361"/>
    </row>
    <row r="2002" spans="1:8">
      <c r="A2002" s="330"/>
      <c r="B2002" s="356"/>
      <c r="D2002" s="357" t="s">
        <v>798</v>
      </c>
      <c r="E2002" s="338"/>
      <c r="F2002" s="338"/>
      <c r="G2002" s="361"/>
      <c r="H2002" s="351"/>
    </row>
    <row r="2003" spans="1:8">
      <c r="A2003" s="330"/>
      <c r="B2003" s="354"/>
      <c r="C2003" s="331"/>
      <c r="D2003" s="355" t="s">
        <v>799</v>
      </c>
      <c r="E2003" s="338"/>
      <c r="F2003" s="338"/>
      <c r="G2003" s="361"/>
      <c r="H2003" s="331"/>
    </row>
    <row r="2004" spans="1:8">
      <c r="A2004" s="330"/>
      <c r="B2004" s="354"/>
      <c r="C2004" s="331"/>
      <c r="D2004" s="355" t="s">
        <v>800</v>
      </c>
      <c r="E2004" s="338"/>
      <c r="F2004" s="338"/>
      <c r="G2004" s="361"/>
      <c r="H2004" s="331"/>
    </row>
    <row r="2005" spans="1:8">
      <c r="A2005" s="330"/>
      <c r="B2005" s="354"/>
      <c r="C2005" s="331"/>
      <c r="D2005" s="355"/>
      <c r="E2005" s="338"/>
      <c r="F2005" s="338"/>
      <c r="G2005" s="361"/>
      <c r="H2005" s="331"/>
    </row>
    <row r="2006" spans="1:8">
      <c r="A2006" s="330"/>
      <c r="B2006" s="354"/>
      <c r="C2006" s="331"/>
      <c r="D2006" s="355"/>
      <c r="E2006" s="338"/>
      <c r="F2006" s="338"/>
      <c r="G2006" s="361"/>
      <c r="H2006" s="331"/>
    </row>
    <row r="2007" spans="1:8">
      <c r="A2007" s="330"/>
      <c r="B2007" s="368"/>
      <c r="C2007" s="369"/>
      <c r="D2007" s="370"/>
      <c r="E2007" s="371"/>
      <c r="F2007" s="371"/>
      <c r="G2007" s="372"/>
      <c r="H2007" s="331"/>
    </row>
    <row r="2008" spans="1:8">
      <c r="A2008" s="330"/>
      <c r="E2008" s="338"/>
      <c r="F2008" s="338"/>
      <c r="G2008" s="338"/>
      <c r="H2008" s="345"/>
    </row>
    <row r="2010" spans="1:8">
      <c r="A2010" s="329"/>
      <c r="E2010" s="338"/>
      <c r="F2010" s="338"/>
      <c r="G2010" s="338"/>
    </row>
    <row r="2011" spans="1:8">
      <c r="A2011" s="330"/>
      <c r="B2011" s="748"/>
      <c r="C2011" s="749"/>
      <c r="D2011" s="749"/>
      <c r="E2011" s="749"/>
      <c r="F2011" s="352"/>
      <c r="G2011" s="353"/>
      <c r="H2011" s="332"/>
    </row>
    <row r="2012" spans="1:8">
      <c r="A2012" s="330"/>
      <c r="B2012" s="354"/>
      <c r="C2012" s="331"/>
      <c r="D2012" s="331"/>
      <c r="E2012" s="331"/>
      <c r="F2012" s="331"/>
      <c r="G2012" s="355"/>
      <c r="H2012" s="331"/>
    </row>
    <row r="2013" spans="1:8">
      <c r="A2013" s="330"/>
      <c r="B2013" s="354"/>
      <c r="C2013" s="331"/>
      <c r="D2013" s="331"/>
      <c r="E2013" s="331"/>
      <c r="F2013" s="331"/>
      <c r="G2013" s="355"/>
      <c r="H2013" s="331"/>
    </row>
    <row r="2014" spans="1:8">
      <c r="A2014" s="330"/>
      <c r="B2014" s="737"/>
      <c r="C2014" s="738"/>
      <c r="D2014" s="738"/>
      <c r="E2014" s="738"/>
      <c r="F2014" s="331"/>
      <c r="G2014" s="355"/>
      <c r="H2014" s="331"/>
    </row>
    <row r="2015" spans="1:8">
      <c r="A2015" s="330"/>
      <c r="B2015" s="354"/>
      <c r="C2015" s="331"/>
      <c r="D2015" s="331"/>
      <c r="E2015" s="331"/>
      <c r="F2015" s="331"/>
      <c r="G2015" s="355"/>
      <c r="H2015" s="331"/>
    </row>
    <row r="2016" spans="1:8">
      <c r="A2016" s="330"/>
      <c r="B2016" s="354"/>
      <c r="C2016" s="331"/>
      <c r="D2016" s="331"/>
      <c r="E2016" s="331"/>
      <c r="F2016" s="331"/>
      <c r="G2016" s="355"/>
      <c r="H2016" s="331"/>
    </row>
    <row r="2017" spans="1:9" ht="15.75" customHeight="1">
      <c r="A2017" s="330"/>
      <c r="B2017" s="354"/>
      <c r="C2017" s="331"/>
      <c r="D2017" s="751" t="s">
        <v>1985</v>
      </c>
      <c r="E2017" s="751"/>
      <c r="F2017" s="331"/>
      <c r="G2017" s="355"/>
      <c r="H2017" s="331"/>
    </row>
    <row r="2018" spans="1:9" ht="15.75" customHeight="1">
      <c r="A2018" s="330"/>
      <c r="B2018" s="356"/>
      <c r="D2018" s="751"/>
      <c r="E2018" s="751"/>
      <c r="F2018" s="331"/>
      <c r="G2018" s="355"/>
      <c r="H2018" s="331"/>
    </row>
    <row r="2019" spans="1:9" ht="15.75" customHeight="1">
      <c r="A2019" s="330"/>
      <c r="B2019" s="354"/>
      <c r="C2019" s="331"/>
      <c r="D2019" s="751"/>
      <c r="E2019" s="751"/>
      <c r="F2019" s="331"/>
      <c r="G2019" s="355"/>
      <c r="H2019" s="331"/>
    </row>
    <row r="2020" spans="1:9" ht="15.75" customHeight="1">
      <c r="A2020" s="330"/>
      <c r="B2020" s="354"/>
      <c r="C2020" s="331"/>
      <c r="D2020" s="751"/>
      <c r="E2020" s="751"/>
      <c r="F2020" s="331"/>
      <c r="G2020" s="355"/>
      <c r="H2020" s="331"/>
      <c r="I2020" t="s">
        <v>256</v>
      </c>
    </row>
    <row r="2021" spans="1:9" ht="15.75" customHeight="1">
      <c r="A2021" s="330"/>
      <c r="B2021" s="354"/>
      <c r="C2021" s="331"/>
      <c r="D2021" s="751"/>
      <c r="E2021" s="751"/>
      <c r="F2021" s="331"/>
      <c r="G2021" s="355"/>
      <c r="H2021" s="331"/>
    </row>
    <row r="2022" spans="1:9" ht="15.75" customHeight="1">
      <c r="A2022" s="330"/>
      <c r="B2022" s="354"/>
      <c r="C2022" s="331"/>
      <c r="D2022" s="751"/>
      <c r="E2022" s="751"/>
      <c r="F2022" s="331"/>
      <c r="G2022" s="355"/>
      <c r="H2022" s="331"/>
    </row>
    <row r="2023" spans="1:9" ht="15.75" customHeight="1">
      <c r="A2023" s="330"/>
      <c r="B2023" s="354"/>
      <c r="C2023" s="331"/>
      <c r="D2023" s="751"/>
      <c r="E2023" s="751"/>
      <c r="F2023" s="331"/>
      <c r="G2023" s="355"/>
      <c r="H2023" s="331"/>
    </row>
    <row r="2024" spans="1:9" ht="15.75" customHeight="1">
      <c r="A2024" s="330"/>
      <c r="B2024" s="354"/>
      <c r="C2024" s="331"/>
      <c r="D2024" s="751"/>
      <c r="E2024" s="751"/>
      <c r="F2024" s="331"/>
      <c r="G2024" s="355"/>
      <c r="H2024" s="331"/>
    </row>
    <row r="2025" spans="1:9">
      <c r="A2025" s="330"/>
      <c r="B2025" s="356"/>
      <c r="D2025" s="751"/>
      <c r="E2025" s="751"/>
      <c r="F2025" s="331"/>
      <c r="G2025" s="355"/>
      <c r="H2025" s="331"/>
    </row>
    <row r="2026" spans="1:9">
      <c r="A2026" s="330"/>
      <c r="B2026" s="354"/>
      <c r="C2026" s="331"/>
      <c r="D2026" s="751"/>
      <c r="E2026" s="751"/>
      <c r="F2026" s="331"/>
      <c r="G2026" s="355"/>
      <c r="H2026" s="331"/>
    </row>
    <row r="2027" spans="1:9">
      <c r="A2027" s="330"/>
      <c r="B2027" s="354"/>
      <c r="C2027" s="331"/>
      <c r="D2027" s="751"/>
      <c r="E2027" s="751"/>
      <c r="F2027" s="331"/>
      <c r="G2027" s="355"/>
      <c r="H2027" s="333"/>
    </row>
    <row r="2028" spans="1:9">
      <c r="A2028" s="330"/>
      <c r="B2028" s="354"/>
      <c r="C2028" s="331"/>
      <c r="D2028" s="751"/>
      <c r="E2028" s="751"/>
      <c r="F2028" s="331"/>
      <c r="G2028" s="355"/>
      <c r="H2028" s="333"/>
    </row>
    <row r="2029" spans="1:9">
      <c r="A2029" s="330"/>
      <c r="B2029" s="354"/>
      <c r="C2029" s="331"/>
      <c r="D2029" s="751"/>
      <c r="E2029" s="751"/>
      <c r="F2029" s="331"/>
      <c r="G2029" s="355"/>
      <c r="H2029" s="333"/>
    </row>
    <row r="2030" spans="1:9">
      <c r="A2030" s="330"/>
      <c r="B2030" s="354"/>
      <c r="C2030" s="331"/>
      <c r="D2030" s="751"/>
      <c r="E2030" s="751"/>
      <c r="F2030" s="331"/>
      <c r="G2030" s="355"/>
      <c r="H2030" s="333"/>
    </row>
    <row r="2031" spans="1:9">
      <c r="A2031" s="330"/>
      <c r="B2031" s="356"/>
      <c r="G2031" s="357"/>
      <c r="H2031" s="333"/>
    </row>
    <row r="2032" spans="1:9">
      <c r="A2032" s="337"/>
      <c r="B2032" s="752"/>
      <c r="C2032" s="753"/>
      <c r="D2032" s="753"/>
      <c r="E2032" s="753"/>
      <c r="F2032" s="358"/>
      <c r="G2032" s="359"/>
      <c r="H2032" s="360"/>
    </row>
    <row r="2033" spans="1:8">
      <c r="A2033" s="330"/>
      <c r="B2033" s="356"/>
      <c r="G2033" s="357"/>
    </row>
    <row r="2034" spans="1:8">
      <c r="A2034" s="330"/>
      <c r="B2034" s="354"/>
      <c r="C2034" s="331"/>
      <c r="D2034" s="331"/>
      <c r="E2034" s="338"/>
      <c r="F2034" s="338"/>
      <c r="G2034" s="361"/>
      <c r="H2034" s="339"/>
    </row>
    <row r="2035" spans="1:8">
      <c r="A2035" s="330"/>
      <c r="B2035" s="730"/>
      <c r="C2035" s="731"/>
      <c r="D2035" s="731"/>
      <c r="E2035" s="731"/>
      <c r="F2035" s="343"/>
      <c r="G2035" s="362"/>
      <c r="H2035" s="743"/>
    </row>
    <row r="2036" spans="1:8">
      <c r="A2036" s="330"/>
      <c r="B2036" s="730"/>
      <c r="C2036" s="731"/>
      <c r="D2036" s="731"/>
      <c r="E2036" s="731"/>
      <c r="F2036" s="343"/>
      <c r="G2036" s="362"/>
      <c r="H2036" s="743"/>
    </row>
    <row r="2037" spans="1:8">
      <c r="A2037" s="330"/>
      <c r="B2037" s="363"/>
      <c r="C2037" s="343"/>
      <c r="D2037" s="343"/>
      <c r="E2037" s="343"/>
      <c r="F2037" s="343"/>
      <c r="G2037" s="362"/>
      <c r="H2037" s="344"/>
    </row>
    <row r="2038" spans="1:8">
      <c r="A2038" s="330"/>
      <c r="B2038" s="364"/>
      <c r="C2038" s="332"/>
      <c r="D2038" s="332"/>
      <c r="E2038" s="332"/>
      <c r="F2038" s="332"/>
      <c r="G2038" s="365"/>
      <c r="H2038" s="332"/>
    </row>
    <row r="2039" spans="1:8">
      <c r="A2039" s="330"/>
      <c r="B2039" s="737"/>
      <c r="C2039" s="738"/>
      <c r="D2039" s="738"/>
      <c r="E2039" s="738"/>
      <c r="F2039" s="331"/>
      <c r="G2039" s="355"/>
      <c r="H2039" s="345"/>
    </row>
    <row r="2040" spans="1:8">
      <c r="A2040" s="330"/>
      <c r="B2040" s="737"/>
      <c r="C2040" s="738"/>
      <c r="D2040" s="738"/>
      <c r="E2040" s="738"/>
      <c r="F2040" s="331"/>
      <c r="G2040" s="355"/>
      <c r="H2040" s="345"/>
    </row>
    <row r="2041" spans="1:8">
      <c r="A2041" s="330"/>
      <c r="B2041" s="354" t="s">
        <v>775</v>
      </c>
      <c r="C2041" s="331"/>
      <c r="D2041" s="331"/>
      <c r="E2041" s="331"/>
      <c r="F2041" s="331"/>
      <c r="G2041" s="355"/>
      <c r="H2041" s="345"/>
    </row>
    <row r="2042" spans="1:8">
      <c r="A2042" s="330"/>
      <c r="B2042" s="737"/>
      <c r="C2042" s="738"/>
      <c r="D2042" s="738"/>
      <c r="E2042" s="738"/>
      <c r="F2042" s="331"/>
      <c r="G2042" s="355"/>
      <c r="H2042" s="345"/>
    </row>
    <row r="2043" spans="1:8" ht="27.75">
      <c r="A2043" s="330"/>
      <c r="B2043" s="373"/>
      <c r="C2043" s="341"/>
      <c r="D2043" s="739" t="s">
        <v>762</v>
      </c>
      <c r="E2043" s="739"/>
      <c r="F2043" s="330"/>
      <c r="G2043" s="366"/>
      <c r="H2043" s="339"/>
    </row>
    <row r="2044" spans="1:8">
      <c r="A2044" s="330"/>
      <c r="B2044" s="356"/>
      <c r="G2044" s="357"/>
    </row>
    <row r="2045" spans="1:8">
      <c r="A2045" s="330"/>
      <c r="B2045" s="373"/>
      <c r="C2045" s="341"/>
      <c r="D2045" s="733"/>
      <c r="E2045" s="733"/>
      <c r="F2045" s="332"/>
      <c r="G2045" s="365"/>
      <c r="H2045" s="339"/>
    </row>
    <row r="2046" spans="1:8">
      <c r="A2046" s="330"/>
      <c r="B2046" s="356"/>
      <c r="D2046" s="733" t="s">
        <v>801</v>
      </c>
      <c r="E2046" s="733"/>
      <c r="G2046" s="357"/>
    </row>
    <row r="2047" spans="1:8">
      <c r="A2047" s="330"/>
      <c r="B2047" s="730"/>
      <c r="C2047" s="731"/>
      <c r="D2047" s="731"/>
      <c r="E2047" s="338"/>
      <c r="F2047" s="338"/>
      <c r="G2047" s="361"/>
      <c r="H2047" s="331"/>
    </row>
    <row r="2048" spans="1:8">
      <c r="A2048" s="330"/>
      <c r="B2048" s="730"/>
      <c r="C2048" s="731"/>
      <c r="D2048" s="731"/>
      <c r="E2048" s="338"/>
      <c r="F2048" s="338"/>
      <c r="G2048" s="361"/>
      <c r="H2048" s="331"/>
    </row>
    <row r="2049" spans="1:8">
      <c r="A2049" s="330"/>
      <c r="B2049" s="356"/>
      <c r="D2049" s="732" t="s">
        <v>806</v>
      </c>
      <c r="E2049" s="732"/>
      <c r="F2049" s="338"/>
      <c r="G2049" s="361"/>
    </row>
    <row r="2050" spans="1:8">
      <c r="A2050" s="330"/>
      <c r="B2050" s="354"/>
      <c r="C2050" s="331"/>
      <c r="D2050" s="331"/>
      <c r="E2050" s="338"/>
      <c r="F2050" s="338"/>
      <c r="G2050" s="361"/>
      <c r="H2050" s="331"/>
    </row>
    <row r="2051" spans="1:8">
      <c r="A2051" s="330"/>
      <c r="B2051" s="354"/>
      <c r="C2051" s="331"/>
      <c r="D2051" s="733" t="s">
        <v>802</v>
      </c>
      <c r="E2051" s="733"/>
      <c r="F2051" s="338"/>
      <c r="G2051" s="361"/>
      <c r="H2051" s="331"/>
    </row>
    <row r="2052" spans="1:8">
      <c r="A2052" s="330"/>
      <c r="B2052" s="354"/>
      <c r="C2052" s="331"/>
      <c r="D2052" s="734" t="s">
        <v>807</v>
      </c>
      <c r="E2052" s="734"/>
      <c r="F2052" s="338"/>
      <c r="G2052" s="361"/>
      <c r="H2052" s="331"/>
    </row>
    <row r="2053" spans="1:8">
      <c r="A2053" s="330"/>
      <c r="B2053" s="735"/>
      <c r="C2053" s="736"/>
      <c r="D2053" s="736"/>
      <c r="E2053" s="338"/>
      <c r="F2053" s="338"/>
      <c r="G2053" s="361"/>
    </row>
    <row r="2054" spans="1:8">
      <c r="A2054" s="330"/>
      <c r="B2054" s="735"/>
      <c r="C2054" s="736"/>
      <c r="D2054" s="736"/>
      <c r="E2054" s="338"/>
      <c r="F2054" s="338"/>
      <c r="G2054" s="361"/>
    </row>
    <row r="2055" spans="1:8">
      <c r="A2055" s="330"/>
      <c r="B2055" s="354"/>
      <c r="C2055" s="331"/>
      <c r="E2055" s="338"/>
      <c r="F2055" s="338"/>
      <c r="G2055" s="361"/>
    </row>
    <row r="2056" spans="1:8">
      <c r="A2056" s="330"/>
      <c r="B2056" s="737"/>
      <c r="C2056" s="738"/>
      <c r="D2056" s="738"/>
      <c r="E2056" s="338"/>
      <c r="F2056" s="338"/>
      <c r="G2056" s="361"/>
      <c r="H2056" s="331"/>
    </row>
    <row r="2057" spans="1:8">
      <c r="A2057" s="330"/>
      <c r="B2057" s="356"/>
      <c r="E2057" s="338"/>
      <c r="F2057" s="338"/>
      <c r="G2057" s="361"/>
    </row>
    <row r="2058" spans="1:8">
      <c r="A2058" s="330"/>
      <c r="B2058" s="356"/>
      <c r="E2058" s="338"/>
      <c r="F2058" s="338"/>
      <c r="G2058" s="361"/>
    </row>
    <row r="2059" spans="1:8">
      <c r="A2059" s="330"/>
      <c r="B2059" s="356"/>
      <c r="E2059" s="338"/>
      <c r="F2059" s="338"/>
      <c r="G2059" s="361"/>
      <c r="H2059" s="350"/>
    </row>
    <row r="2060" spans="1:8">
      <c r="A2060" s="330"/>
      <c r="B2060" s="356"/>
      <c r="E2060" s="338"/>
      <c r="F2060" s="338"/>
      <c r="G2060" s="361"/>
    </row>
    <row r="2061" spans="1:8">
      <c r="A2061" s="330"/>
      <c r="B2061" s="744"/>
      <c r="C2061" s="745"/>
      <c r="D2061" s="746"/>
      <c r="E2061" s="338"/>
      <c r="F2061" s="338"/>
      <c r="G2061" s="361"/>
      <c r="H2061" s="331"/>
    </row>
    <row r="2062" spans="1:8">
      <c r="A2062" s="330"/>
      <c r="B2062" s="356"/>
      <c r="D2062" s="357"/>
      <c r="E2062" s="338"/>
      <c r="F2062" s="338"/>
      <c r="G2062" s="361"/>
    </row>
    <row r="2063" spans="1:8">
      <c r="A2063" s="330"/>
      <c r="B2063" s="356"/>
      <c r="D2063" s="367" t="s">
        <v>797</v>
      </c>
      <c r="E2063" s="338"/>
      <c r="F2063" s="338"/>
      <c r="G2063" s="361"/>
    </row>
    <row r="2064" spans="1:8">
      <c r="A2064" s="330"/>
      <c r="B2064" s="356"/>
      <c r="D2064" s="357" t="s">
        <v>798</v>
      </c>
      <c r="E2064" s="338"/>
      <c r="F2064" s="338"/>
      <c r="G2064" s="361"/>
      <c r="H2064" s="351"/>
    </row>
    <row r="2065" spans="1:8">
      <c r="A2065" s="330"/>
      <c r="B2065" s="354"/>
      <c r="C2065" s="331"/>
      <c r="D2065" s="355" t="s">
        <v>799</v>
      </c>
      <c r="E2065" s="338"/>
      <c r="F2065" s="338"/>
      <c r="G2065" s="361"/>
      <c r="H2065" s="331"/>
    </row>
    <row r="2066" spans="1:8">
      <c r="A2066" s="330"/>
      <c r="B2066" s="354"/>
      <c r="C2066" s="331"/>
      <c r="D2066" s="355" t="s">
        <v>800</v>
      </c>
      <c r="E2066" s="338"/>
      <c r="F2066" s="338"/>
      <c r="G2066" s="361"/>
      <c r="H2066" s="331"/>
    </row>
    <row r="2067" spans="1:8">
      <c r="A2067" s="330"/>
      <c r="B2067" s="354"/>
      <c r="C2067" s="331"/>
      <c r="D2067" s="355"/>
      <c r="E2067" s="338"/>
      <c r="F2067" s="338"/>
      <c r="G2067" s="361"/>
      <c r="H2067" s="331"/>
    </row>
    <row r="2068" spans="1:8">
      <c r="A2068" s="330"/>
      <c r="B2068" s="354"/>
      <c r="C2068" s="331"/>
      <c r="D2068" s="355"/>
      <c r="E2068" s="338"/>
      <c r="F2068" s="338"/>
      <c r="G2068" s="361"/>
      <c r="H2068" s="331"/>
    </row>
    <row r="2069" spans="1:8">
      <c r="A2069" s="330"/>
      <c r="B2069" s="368"/>
      <c r="C2069" s="369"/>
      <c r="D2069" s="370"/>
      <c r="E2069" s="371"/>
      <c r="F2069" s="371"/>
      <c r="G2069" s="372"/>
      <c r="H2069" s="331"/>
    </row>
    <row r="2070" spans="1:8">
      <c r="A2070" s="330"/>
      <c r="E2070" s="338"/>
      <c r="F2070" s="338"/>
      <c r="G2070" s="338"/>
      <c r="H2070" s="345"/>
    </row>
    <row r="2072" spans="1:8">
      <c r="A2072" s="329"/>
      <c r="E2072" s="338"/>
      <c r="F2072" s="338"/>
      <c r="G2072" s="338"/>
    </row>
    <row r="2073" spans="1:8">
      <c r="A2073" s="330"/>
      <c r="B2073" s="748"/>
      <c r="C2073" s="749"/>
      <c r="D2073" s="749"/>
      <c r="E2073" s="749"/>
      <c r="F2073" s="352"/>
      <c r="G2073" s="353"/>
      <c r="H2073" s="332"/>
    </row>
    <row r="2074" spans="1:8">
      <c r="A2074" s="330"/>
      <c r="B2074" s="354"/>
      <c r="C2074" s="331"/>
      <c r="D2074" s="331"/>
      <c r="E2074" s="331"/>
      <c r="F2074" s="331"/>
      <c r="G2074" s="355"/>
      <c r="H2074" s="331"/>
    </row>
    <row r="2075" spans="1:8">
      <c r="A2075" s="330"/>
      <c r="B2075" s="354"/>
      <c r="C2075" s="331"/>
      <c r="D2075" s="331"/>
      <c r="E2075" s="331"/>
      <c r="F2075" s="331"/>
      <c r="G2075" s="355"/>
      <c r="H2075" s="331"/>
    </row>
    <row r="2076" spans="1:8">
      <c r="A2076" s="330"/>
      <c r="B2076" s="737"/>
      <c r="C2076" s="738"/>
      <c r="D2076" s="738"/>
      <c r="E2076" s="738"/>
      <c r="F2076" s="331"/>
      <c r="G2076" s="355"/>
      <c r="H2076" s="331"/>
    </row>
    <row r="2077" spans="1:8">
      <c r="A2077" s="330"/>
      <c r="B2077" s="354"/>
      <c r="C2077" s="331"/>
      <c r="D2077" s="331"/>
      <c r="E2077" s="331"/>
      <c r="F2077" s="331"/>
      <c r="G2077" s="355"/>
      <c r="H2077" s="331"/>
    </row>
    <row r="2078" spans="1:8">
      <c r="A2078" s="330"/>
      <c r="B2078" s="354"/>
      <c r="C2078" s="331"/>
      <c r="D2078" s="331"/>
      <c r="E2078" s="331"/>
      <c r="F2078" s="331"/>
      <c r="G2078" s="355"/>
      <c r="H2078" s="331"/>
    </row>
    <row r="2079" spans="1:8" ht="15.75" customHeight="1">
      <c r="A2079" s="330"/>
      <c r="B2079" s="354"/>
      <c r="C2079" s="331"/>
      <c r="D2079" s="751" t="s">
        <v>1984</v>
      </c>
      <c r="E2079" s="751"/>
      <c r="F2079" s="331"/>
      <c r="G2079" s="355"/>
      <c r="H2079" s="331"/>
    </row>
    <row r="2080" spans="1:8" ht="15.75" customHeight="1">
      <c r="A2080" s="330"/>
      <c r="B2080" s="356"/>
      <c r="D2080" s="751"/>
      <c r="E2080" s="751"/>
      <c r="F2080" s="331"/>
      <c r="G2080" s="355"/>
      <c r="H2080" s="331"/>
    </row>
    <row r="2081" spans="1:9" ht="15.75" customHeight="1">
      <c r="A2081" s="330"/>
      <c r="B2081" s="354"/>
      <c r="C2081" s="331"/>
      <c r="D2081" s="751"/>
      <c r="E2081" s="751"/>
      <c r="F2081" s="331"/>
      <c r="G2081" s="355"/>
      <c r="H2081" s="331"/>
    </row>
    <row r="2082" spans="1:9" ht="15.75" customHeight="1">
      <c r="A2082" s="330"/>
      <c r="B2082" s="354"/>
      <c r="C2082" s="331"/>
      <c r="D2082" s="751"/>
      <c r="E2082" s="751"/>
      <c r="F2082" s="331"/>
      <c r="G2082" s="355"/>
      <c r="H2082" s="331"/>
      <c r="I2082" t="s">
        <v>256</v>
      </c>
    </row>
    <row r="2083" spans="1:9" ht="15.75" customHeight="1">
      <c r="A2083" s="330"/>
      <c r="B2083" s="354"/>
      <c r="C2083" s="331"/>
      <c r="D2083" s="751"/>
      <c r="E2083" s="751"/>
      <c r="F2083" s="331"/>
      <c r="G2083" s="355"/>
      <c r="H2083" s="331"/>
    </row>
    <row r="2084" spans="1:9" ht="15.75" customHeight="1">
      <c r="A2084" s="330"/>
      <c r="B2084" s="354"/>
      <c r="C2084" s="331"/>
      <c r="D2084" s="751"/>
      <c r="E2084" s="751"/>
      <c r="F2084" s="331"/>
      <c r="G2084" s="355"/>
      <c r="H2084" s="331"/>
    </row>
    <row r="2085" spans="1:9" ht="15.75" customHeight="1">
      <c r="A2085" s="330"/>
      <c r="B2085" s="354"/>
      <c r="C2085" s="331"/>
      <c r="D2085" s="751"/>
      <c r="E2085" s="751"/>
      <c r="F2085" s="331"/>
      <c r="G2085" s="355"/>
      <c r="H2085" s="331"/>
    </row>
    <row r="2086" spans="1:9" ht="15.75" customHeight="1">
      <c r="A2086" s="330"/>
      <c r="B2086" s="354"/>
      <c r="C2086" s="331"/>
      <c r="D2086" s="751"/>
      <c r="E2086" s="751"/>
      <c r="F2086" s="331"/>
      <c r="G2086" s="355"/>
      <c r="H2086" s="331"/>
    </row>
    <row r="2087" spans="1:9">
      <c r="A2087" s="330"/>
      <c r="B2087" s="356"/>
      <c r="D2087" s="751"/>
      <c r="E2087" s="751"/>
      <c r="F2087" s="331"/>
      <c r="G2087" s="355"/>
      <c r="H2087" s="331"/>
    </row>
    <row r="2088" spans="1:9">
      <c r="A2088" s="330"/>
      <c r="B2088" s="354"/>
      <c r="C2088" s="331"/>
      <c r="D2088" s="751"/>
      <c r="E2088" s="751"/>
      <c r="F2088" s="331"/>
      <c r="G2088" s="355"/>
      <c r="H2088" s="331"/>
    </row>
    <row r="2089" spans="1:9">
      <c r="A2089" s="330"/>
      <c r="B2089" s="354"/>
      <c r="C2089" s="331"/>
      <c r="D2089" s="751"/>
      <c r="E2089" s="751"/>
      <c r="F2089" s="331"/>
      <c r="G2089" s="355"/>
      <c r="H2089" s="333"/>
    </row>
    <row r="2090" spans="1:9">
      <c r="A2090" s="330"/>
      <c r="B2090" s="354"/>
      <c r="C2090" s="331"/>
      <c r="D2090" s="751"/>
      <c r="E2090" s="751"/>
      <c r="F2090" s="331"/>
      <c r="G2090" s="355"/>
      <c r="H2090" s="333"/>
    </row>
    <row r="2091" spans="1:9">
      <c r="A2091" s="330"/>
      <c r="B2091" s="354"/>
      <c r="C2091" s="331"/>
      <c r="D2091" s="751"/>
      <c r="E2091" s="751"/>
      <c r="F2091" s="331"/>
      <c r="G2091" s="355"/>
      <c r="H2091" s="333"/>
    </row>
    <row r="2092" spans="1:9">
      <c r="A2092" s="330"/>
      <c r="B2092" s="354"/>
      <c r="C2092" s="331"/>
      <c r="D2092" s="751"/>
      <c r="E2092" s="751"/>
      <c r="F2092" s="331"/>
      <c r="G2092" s="355"/>
      <c r="H2092" s="333"/>
    </row>
    <row r="2093" spans="1:9">
      <c r="A2093" s="330"/>
      <c r="B2093" s="356"/>
      <c r="G2093" s="357"/>
      <c r="H2093" s="333"/>
    </row>
    <row r="2094" spans="1:9">
      <c r="A2094" s="337"/>
      <c r="B2094" s="752"/>
      <c r="C2094" s="753"/>
      <c r="D2094" s="753"/>
      <c r="E2094" s="753"/>
      <c r="F2094" s="358"/>
      <c r="G2094" s="359"/>
      <c r="H2094" s="360"/>
    </row>
    <row r="2095" spans="1:9">
      <c r="A2095" s="330"/>
      <c r="B2095" s="356"/>
      <c r="G2095" s="357"/>
    </row>
    <row r="2096" spans="1:9">
      <c r="A2096" s="330"/>
      <c r="B2096" s="354"/>
      <c r="C2096" s="331"/>
      <c r="D2096" s="331"/>
      <c r="E2096" s="338"/>
      <c r="F2096" s="338"/>
      <c r="G2096" s="361"/>
      <c r="H2096" s="339"/>
    </row>
    <row r="2097" spans="1:8">
      <c r="A2097" s="330"/>
      <c r="B2097" s="730"/>
      <c r="C2097" s="731"/>
      <c r="D2097" s="731"/>
      <c r="E2097" s="731"/>
      <c r="F2097" s="343"/>
      <c r="G2097" s="362"/>
      <c r="H2097" s="743"/>
    </row>
    <row r="2098" spans="1:8">
      <c r="A2098" s="330"/>
      <c r="B2098" s="730"/>
      <c r="C2098" s="731"/>
      <c r="D2098" s="731"/>
      <c r="E2098" s="731"/>
      <c r="F2098" s="343"/>
      <c r="G2098" s="362"/>
      <c r="H2098" s="743"/>
    </row>
    <row r="2099" spans="1:8">
      <c r="A2099" s="330"/>
      <c r="B2099" s="363"/>
      <c r="C2099" s="343"/>
      <c r="D2099" s="343"/>
      <c r="E2099" s="343"/>
      <c r="F2099" s="343"/>
      <c r="G2099" s="362"/>
      <c r="H2099" s="344"/>
    </row>
    <row r="2100" spans="1:8">
      <c r="A2100" s="330"/>
      <c r="B2100" s="364"/>
      <c r="C2100" s="332"/>
      <c r="D2100" s="332"/>
      <c r="E2100" s="332"/>
      <c r="F2100" s="332"/>
      <c r="G2100" s="365"/>
      <c r="H2100" s="332"/>
    </row>
    <row r="2101" spans="1:8">
      <c r="A2101" s="330"/>
      <c r="B2101" s="737"/>
      <c r="C2101" s="738"/>
      <c r="D2101" s="738"/>
      <c r="E2101" s="738"/>
      <c r="F2101" s="331"/>
      <c r="G2101" s="355"/>
      <c r="H2101" s="345"/>
    </row>
    <row r="2102" spans="1:8">
      <c r="A2102" s="330"/>
      <c r="B2102" s="737"/>
      <c r="C2102" s="738"/>
      <c r="D2102" s="738"/>
      <c r="E2102" s="738"/>
      <c r="F2102" s="331"/>
      <c r="G2102" s="355"/>
      <c r="H2102" s="345"/>
    </row>
    <row r="2103" spans="1:8">
      <c r="A2103" s="330"/>
      <c r="B2103" s="354" t="s">
        <v>775</v>
      </c>
      <c r="C2103" s="331"/>
      <c r="D2103" s="331"/>
      <c r="E2103" s="331"/>
      <c r="F2103" s="331"/>
      <c r="G2103" s="355"/>
      <c r="H2103" s="345"/>
    </row>
    <row r="2104" spans="1:8">
      <c r="A2104" s="330"/>
      <c r="B2104" s="737"/>
      <c r="C2104" s="738"/>
      <c r="D2104" s="738"/>
      <c r="E2104" s="738"/>
      <c r="F2104" s="331"/>
      <c r="G2104" s="355"/>
      <c r="H2104" s="345"/>
    </row>
    <row r="2105" spans="1:8" ht="27.75">
      <c r="A2105" s="330"/>
      <c r="B2105" s="373"/>
      <c r="C2105" s="341"/>
      <c r="D2105" s="739" t="s">
        <v>762</v>
      </c>
      <c r="E2105" s="739"/>
      <c r="F2105" s="330"/>
      <c r="G2105" s="366"/>
      <c r="H2105" s="339"/>
    </row>
    <row r="2106" spans="1:8">
      <c r="A2106" s="330"/>
      <c r="B2106" s="356"/>
      <c r="G2106" s="357"/>
    </row>
    <row r="2107" spans="1:8">
      <c r="A2107" s="330"/>
      <c r="B2107" s="373"/>
      <c r="C2107" s="341"/>
      <c r="D2107" s="733"/>
      <c r="E2107" s="733"/>
      <c r="F2107" s="332"/>
      <c r="G2107" s="365"/>
      <c r="H2107" s="339"/>
    </row>
    <row r="2108" spans="1:8">
      <c r="A2108" s="330"/>
      <c r="B2108" s="356"/>
      <c r="D2108" s="733" t="s">
        <v>801</v>
      </c>
      <c r="E2108" s="733"/>
      <c r="G2108" s="357"/>
    </row>
    <row r="2109" spans="1:8">
      <c r="A2109" s="330"/>
      <c r="B2109" s="730"/>
      <c r="C2109" s="731"/>
      <c r="D2109" s="731"/>
      <c r="E2109" s="338"/>
      <c r="F2109" s="338"/>
      <c r="G2109" s="361"/>
      <c r="H2109" s="331"/>
    </row>
    <row r="2110" spans="1:8">
      <c r="A2110" s="330"/>
      <c r="B2110" s="730"/>
      <c r="C2110" s="731"/>
      <c r="D2110" s="731"/>
      <c r="E2110" s="338"/>
      <c r="F2110" s="338"/>
      <c r="G2110" s="361"/>
      <c r="H2110" s="331"/>
    </row>
    <row r="2111" spans="1:8">
      <c r="A2111" s="330"/>
      <c r="B2111" s="356"/>
      <c r="D2111" s="732" t="s">
        <v>806</v>
      </c>
      <c r="E2111" s="732"/>
      <c r="F2111" s="338"/>
      <c r="G2111" s="361"/>
    </row>
    <row r="2112" spans="1:8">
      <c r="A2112" s="330"/>
      <c r="B2112" s="354"/>
      <c r="C2112" s="331"/>
      <c r="D2112" s="331"/>
      <c r="E2112" s="338"/>
      <c r="F2112" s="338"/>
      <c r="G2112" s="361"/>
      <c r="H2112" s="331"/>
    </row>
    <row r="2113" spans="1:8">
      <c r="A2113" s="330"/>
      <c r="B2113" s="354"/>
      <c r="C2113" s="331"/>
      <c r="D2113" s="733" t="s">
        <v>802</v>
      </c>
      <c r="E2113" s="733"/>
      <c r="F2113" s="338"/>
      <c r="G2113" s="361"/>
      <c r="H2113" s="331"/>
    </row>
    <row r="2114" spans="1:8">
      <c r="A2114" s="330"/>
      <c r="B2114" s="354"/>
      <c r="C2114" s="331"/>
      <c r="D2114" s="734" t="s">
        <v>807</v>
      </c>
      <c r="E2114" s="734"/>
      <c r="F2114" s="338"/>
      <c r="G2114" s="361"/>
      <c r="H2114" s="331"/>
    </row>
    <row r="2115" spans="1:8">
      <c r="A2115" s="330"/>
      <c r="B2115" s="735"/>
      <c r="C2115" s="736"/>
      <c r="D2115" s="736"/>
      <c r="E2115" s="338"/>
      <c r="F2115" s="338"/>
      <c r="G2115" s="361"/>
    </row>
    <row r="2116" spans="1:8">
      <c r="A2116" s="330"/>
      <c r="B2116" s="735"/>
      <c r="C2116" s="736"/>
      <c r="D2116" s="736"/>
      <c r="E2116" s="338"/>
      <c r="F2116" s="338"/>
      <c r="G2116" s="361"/>
    </row>
    <row r="2117" spans="1:8">
      <c r="A2117" s="330"/>
      <c r="B2117" s="354"/>
      <c r="C2117" s="331"/>
      <c r="E2117" s="338"/>
      <c r="F2117" s="338"/>
      <c r="G2117" s="361"/>
    </row>
    <row r="2118" spans="1:8">
      <c r="A2118" s="330"/>
      <c r="B2118" s="737"/>
      <c r="C2118" s="738"/>
      <c r="D2118" s="738"/>
      <c r="E2118" s="338"/>
      <c r="F2118" s="338"/>
      <c r="G2118" s="361"/>
      <c r="H2118" s="331"/>
    </row>
    <row r="2119" spans="1:8">
      <c r="A2119" s="330"/>
      <c r="B2119" s="356"/>
      <c r="E2119" s="338"/>
      <c r="F2119" s="338"/>
      <c r="G2119" s="361"/>
    </row>
    <row r="2120" spans="1:8">
      <c r="A2120" s="330"/>
      <c r="B2120" s="356"/>
      <c r="E2120" s="338"/>
      <c r="F2120" s="338"/>
      <c r="G2120" s="361"/>
    </row>
    <row r="2121" spans="1:8">
      <c r="A2121" s="330"/>
      <c r="B2121" s="356"/>
      <c r="E2121" s="338"/>
      <c r="F2121" s="338"/>
      <c r="G2121" s="361"/>
      <c r="H2121" s="350"/>
    </row>
    <row r="2122" spans="1:8">
      <c r="A2122" s="330"/>
      <c r="B2122" s="356"/>
      <c r="E2122" s="338"/>
      <c r="F2122" s="338"/>
      <c r="G2122" s="361"/>
    </row>
    <row r="2123" spans="1:8">
      <c r="A2123" s="330"/>
      <c r="B2123" s="744"/>
      <c r="C2123" s="745"/>
      <c r="D2123" s="746"/>
      <c r="E2123" s="338"/>
      <c r="F2123" s="338"/>
      <c r="G2123" s="361"/>
      <c r="H2123" s="331"/>
    </row>
    <row r="2124" spans="1:8">
      <c r="A2124" s="330"/>
      <c r="B2124" s="356"/>
      <c r="D2124" s="357"/>
      <c r="E2124" s="338"/>
      <c r="F2124" s="338"/>
      <c r="G2124" s="361"/>
    </row>
    <row r="2125" spans="1:8">
      <c r="A2125" s="330"/>
      <c r="B2125" s="356"/>
      <c r="D2125" s="367" t="s">
        <v>797</v>
      </c>
      <c r="E2125" s="338"/>
      <c r="F2125" s="338"/>
      <c r="G2125" s="361"/>
    </row>
    <row r="2126" spans="1:8">
      <c r="A2126" s="330"/>
      <c r="B2126" s="356"/>
      <c r="D2126" s="357" t="s">
        <v>798</v>
      </c>
      <c r="E2126" s="338"/>
      <c r="F2126" s="338"/>
      <c r="G2126" s="361"/>
      <c r="H2126" s="351"/>
    </row>
    <row r="2127" spans="1:8">
      <c r="A2127" s="330"/>
      <c r="B2127" s="354"/>
      <c r="C2127" s="331"/>
      <c r="D2127" s="355" t="s">
        <v>799</v>
      </c>
      <c r="E2127" s="338"/>
      <c r="F2127" s="338"/>
      <c r="G2127" s="361"/>
      <c r="H2127" s="331"/>
    </row>
    <row r="2128" spans="1:8">
      <c r="A2128" s="330"/>
      <c r="B2128" s="354"/>
      <c r="C2128" s="331"/>
      <c r="D2128" s="355" t="s">
        <v>800</v>
      </c>
      <c r="E2128" s="338"/>
      <c r="F2128" s="338"/>
      <c r="G2128" s="361"/>
      <c r="H2128" s="331"/>
    </row>
    <row r="2129" spans="1:9">
      <c r="A2129" s="330"/>
      <c r="B2129" s="354"/>
      <c r="C2129" s="331"/>
      <c r="D2129" s="355"/>
      <c r="E2129" s="338"/>
      <c r="F2129" s="338"/>
      <c r="G2129" s="361"/>
      <c r="H2129" s="331"/>
    </row>
    <row r="2130" spans="1:9">
      <c r="A2130" s="330"/>
      <c r="B2130" s="354"/>
      <c r="C2130" s="331"/>
      <c r="D2130" s="355"/>
      <c r="E2130" s="338"/>
      <c r="F2130" s="338"/>
      <c r="G2130" s="361"/>
      <c r="H2130" s="331"/>
    </row>
    <row r="2131" spans="1:9">
      <c r="A2131" s="330"/>
      <c r="B2131" s="368"/>
      <c r="C2131" s="369"/>
      <c r="D2131" s="370"/>
      <c r="E2131" s="371"/>
      <c r="F2131" s="371"/>
      <c r="G2131" s="372"/>
      <c r="H2131" s="331"/>
    </row>
    <row r="2132" spans="1:9">
      <c r="A2132" s="330"/>
      <c r="E2132" s="338"/>
      <c r="F2132" s="338"/>
      <c r="G2132" s="338"/>
      <c r="H2132" s="345"/>
    </row>
    <row r="2134" spans="1:9">
      <c r="A2134" s="329"/>
      <c r="E2134" s="338"/>
      <c r="F2134" s="338"/>
      <c r="G2134" s="338"/>
    </row>
    <row r="2135" spans="1:9">
      <c r="A2135" s="330"/>
      <c r="B2135" s="748"/>
      <c r="C2135" s="749"/>
      <c r="D2135" s="749"/>
      <c r="E2135" s="749"/>
      <c r="F2135" s="352"/>
      <c r="G2135" s="353"/>
      <c r="H2135" s="332"/>
    </row>
    <row r="2136" spans="1:9">
      <c r="A2136" s="330"/>
      <c r="B2136" s="354"/>
      <c r="C2136" s="331"/>
      <c r="D2136" s="331"/>
      <c r="E2136" s="331"/>
      <c r="F2136" s="331"/>
      <c r="G2136" s="355"/>
      <c r="H2136" s="331"/>
    </row>
    <row r="2137" spans="1:9">
      <c r="A2137" s="330"/>
      <c r="B2137" s="354"/>
      <c r="C2137" s="331"/>
      <c r="D2137" s="331"/>
      <c r="E2137" s="331"/>
      <c r="F2137" s="331"/>
      <c r="G2137" s="355"/>
      <c r="H2137" s="331"/>
    </row>
    <row r="2138" spans="1:9">
      <c r="A2138" s="330"/>
      <c r="B2138" s="737"/>
      <c r="C2138" s="738"/>
      <c r="D2138" s="738"/>
      <c r="E2138" s="738"/>
      <c r="F2138" s="331"/>
      <c r="G2138" s="355"/>
      <c r="H2138" s="331"/>
    </row>
    <row r="2139" spans="1:9">
      <c r="A2139" s="330"/>
      <c r="B2139" s="354"/>
      <c r="C2139" s="331"/>
      <c r="D2139" s="331"/>
      <c r="E2139" s="331"/>
      <c r="F2139" s="331"/>
      <c r="G2139" s="355"/>
      <c r="H2139" s="331"/>
    </row>
    <row r="2140" spans="1:9">
      <c r="A2140" s="330"/>
      <c r="B2140" s="354"/>
      <c r="C2140" s="331"/>
      <c r="D2140" s="331"/>
      <c r="E2140" s="331"/>
      <c r="F2140" s="331"/>
      <c r="G2140" s="355"/>
      <c r="H2140" s="331"/>
    </row>
    <row r="2141" spans="1:9" ht="15.75" customHeight="1">
      <c r="A2141" s="330"/>
      <c r="B2141" s="354"/>
      <c r="C2141" s="331"/>
      <c r="D2141" s="751" t="s">
        <v>1983</v>
      </c>
      <c r="E2141" s="751"/>
      <c r="F2141" s="331"/>
      <c r="G2141" s="355"/>
      <c r="H2141" s="331"/>
    </row>
    <row r="2142" spans="1:9" ht="15.75" customHeight="1">
      <c r="A2142" s="330"/>
      <c r="B2142" s="356"/>
      <c r="D2142" s="751"/>
      <c r="E2142" s="751"/>
      <c r="F2142" s="331"/>
      <c r="G2142" s="355"/>
      <c r="H2142" s="331"/>
    </row>
    <row r="2143" spans="1:9" ht="15.75" customHeight="1">
      <c r="A2143" s="330"/>
      <c r="B2143" s="354"/>
      <c r="C2143" s="331"/>
      <c r="D2143" s="751"/>
      <c r="E2143" s="751"/>
      <c r="F2143" s="331"/>
      <c r="G2143" s="355"/>
      <c r="H2143" s="331"/>
    </row>
    <row r="2144" spans="1:9" ht="15.75" customHeight="1">
      <c r="A2144" s="330"/>
      <c r="B2144" s="354"/>
      <c r="C2144" s="331"/>
      <c r="D2144" s="751"/>
      <c r="E2144" s="751"/>
      <c r="F2144" s="331"/>
      <c r="G2144" s="355"/>
      <c r="H2144" s="331"/>
      <c r="I2144" t="s">
        <v>256</v>
      </c>
    </row>
    <row r="2145" spans="1:8" ht="15.75" customHeight="1">
      <c r="A2145" s="330"/>
      <c r="B2145" s="354"/>
      <c r="C2145" s="331"/>
      <c r="D2145" s="751"/>
      <c r="E2145" s="751"/>
      <c r="F2145" s="331"/>
      <c r="G2145" s="355"/>
      <c r="H2145" s="331"/>
    </row>
    <row r="2146" spans="1:8" ht="15.75" customHeight="1">
      <c r="A2146" s="330"/>
      <c r="B2146" s="354"/>
      <c r="C2146" s="331"/>
      <c r="D2146" s="751"/>
      <c r="E2146" s="751"/>
      <c r="F2146" s="331"/>
      <c r="G2146" s="355"/>
      <c r="H2146" s="331"/>
    </row>
    <row r="2147" spans="1:8" ht="15.75" customHeight="1">
      <c r="A2147" s="330"/>
      <c r="B2147" s="354"/>
      <c r="C2147" s="331"/>
      <c r="D2147" s="751"/>
      <c r="E2147" s="751"/>
      <c r="F2147" s="331"/>
      <c r="G2147" s="355"/>
      <c r="H2147" s="331"/>
    </row>
    <row r="2148" spans="1:8" ht="15.75" customHeight="1">
      <c r="A2148" s="330"/>
      <c r="B2148" s="354"/>
      <c r="C2148" s="331"/>
      <c r="D2148" s="751"/>
      <c r="E2148" s="751"/>
      <c r="F2148" s="331"/>
      <c r="G2148" s="355"/>
      <c r="H2148" s="331"/>
    </row>
    <row r="2149" spans="1:8">
      <c r="A2149" s="330"/>
      <c r="B2149" s="356"/>
      <c r="D2149" s="751"/>
      <c r="E2149" s="751"/>
      <c r="F2149" s="331"/>
      <c r="G2149" s="355"/>
      <c r="H2149" s="331"/>
    </row>
    <row r="2150" spans="1:8">
      <c r="A2150" s="330"/>
      <c r="B2150" s="354"/>
      <c r="C2150" s="331"/>
      <c r="D2150" s="751"/>
      <c r="E2150" s="751"/>
      <c r="F2150" s="331"/>
      <c r="G2150" s="355"/>
      <c r="H2150" s="331"/>
    </row>
    <row r="2151" spans="1:8">
      <c r="A2151" s="330"/>
      <c r="B2151" s="354"/>
      <c r="C2151" s="331"/>
      <c r="D2151" s="751"/>
      <c r="E2151" s="751"/>
      <c r="F2151" s="331"/>
      <c r="G2151" s="355"/>
      <c r="H2151" s="333"/>
    </row>
    <row r="2152" spans="1:8">
      <c r="A2152" s="330"/>
      <c r="B2152" s="354"/>
      <c r="C2152" s="331"/>
      <c r="D2152" s="751"/>
      <c r="E2152" s="751"/>
      <c r="F2152" s="331"/>
      <c r="G2152" s="355"/>
      <c r="H2152" s="333"/>
    </row>
    <row r="2153" spans="1:8">
      <c r="A2153" s="330"/>
      <c r="B2153" s="354"/>
      <c r="C2153" s="331"/>
      <c r="D2153" s="751"/>
      <c r="E2153" s="751"/>
      <c r="F2153" s="331"/>
      <c r="G2153" s="355"/>
      <c r="H2153" s="333"/>
    </row>
    <row r="2154" spans="1:8">
      <c r="A2154" s="330"/>
      <c r="B2154" s="354"/>
      <c r="C2154" s="331"/>
      <c r="D2154" s="751"/>
      <c r="E2154" s="751"/>
      <c r="F2154" s="331"/>
      <c r="G2154" s="355"/>
      <c r="H2154" s="333"/>
    </row>
    <row r="2155" spans="1:8">
      <c r="A2155" s="330"/>
      <c r="B2155" s="356"/>
      <c r="G2155" s="357"/>
      <c r="H2155" s="333"/>
    </row>
    <row r="2156" spans="1:8">
      <c r="A2156" s="337"/>
      <c r="B2156" s="752"/>
      <c r="C2156" s="753"/>
      <c r="D2156" s="753"/>
      <c r="E2156" s="753"/>
      <c r="F2156" s="358"/>
      <c r="G2156" s="359"/>
      <c r="H2156" s="360"/>
    </row>
    <row r="2157" spans="1:8">
      <c r="A2157" s="330"/>
      <c r="B2157" s="356"/>
      <c r="G2157" s="357"/>
    </row>
    <row r="2158" spans="1:8">
      <c r="A2158" s="330"/>
      <c r="B2158" s="354"/>
      <c r="C2158" s="331"/>
      <c r="D2158" s="331"/>
      <c r="E2158" s="338"/>
      <c r="F2158" s="338"/>
      <c r="G2158" s="361"/>
      <c r="H2158" s="339"/>
    </row>
    <row r="2159" spans="1:8">
      <c r="A2159" s="330"/>
      <c r="B2159" s="730"/>
      <c r="C2159" s="731"/>
      <c r="D2159" s="731"/>
      <c r="E2159" s="731"/>
      <c r="F2159" s="343"/>
      <c r="G2159" s="362"/>
      <c r="H2159" s="743"/>
    </row>
    <row r="2160" spans="1:8">
      <c r="A2160" s="330"/>
      <c r="B2160" s="730"/>
      <c r="C2160" s="731"/>
      <c r="D2160" s="731"/>
      <c r="E2160" s="731"/>
      <c r="F2160" s="343"/>
      <c r="G2160" s="362"/>
      <c r="H2160" s="743"/>
    </row>
    <row r="2161" spans="1:8">
      <c r="A2161" s="330"/>
      <c r="B2161" s="363"/>
      <c r="C2161" s="343"/>
      <c r="D2161" s="343"/>
      <c r="E2161" s="343"/>
      <c r="F2161" s="343"/>
      <c r="G2161" s="362"/>
      <c r="H2161" s="344"/>
    </row>
    <row r="2162" spans="1:8">
      <c r="A2162" s="330"/>
      <c r="B2162" s="364"/>
      <c r="C2162" s="332"/>
      <c r="D2162" s="332"/>
      <c r="E2162" s="332"/>
      <c r="F2162" s="332"/>
      <c r="G2162" s="365"/>
      <c r="H2162" s="332"/>
    </row>
    <row r="2163" spans="1:8">
      <c r="A2163" s="330"/>
      <c r="B2163" s="737"/>
      <c r="C2163" s="738"/>
      <c r="D2163" s="738"/>
      <c r="E2163" s="738"/>
      <c r="F2163" s="331"/>
      <c r="G2163" s="355"/>
      <c r="H2163" s="345"/>
    </row>
    <row r="2164" spans="1:8">
      <c r="A2164" s="330"/>
      <c r="B2164" s="737"/>
      <c r="C2164" s="738"/>
      <c r="D2164" s="738"/>
      <c r="E2164" s="738"/>
      <c r="F2164" s="331"/>
      <c r="G2164" s="355"/>
      <c r="H2164" s="345"/>
    </row>
    <row r="2165" spans="1:8">
      <c r="A2165" s="330"/>
      <c r="B2165" s="354" t="s">
        <v>775</v>
      </c>
      <c r="C2165" s="331"/>
      <c r="D2165" s="331"/>
      <c r="E2165" s="331"/>
      <c r="F2165" s="331"/>
      <c r="G2165" s="355"/>
      <c r="H2165" s="345"/>
    </row>
    <row r="2166" spans="1:8">
      <c r="A2166" s="330"/>
      <c r="B2166" s="737"/>
      <c r="C2166" s="738"/>
      <c r="D2166" s="738"/>
      <c r="E2166" s="738"/>
      <c r="F2166" s="331"/>
      <c r="G2166" s="355"/>
      <c r="H2166" s="345"/>
    </row>
    <row r="2167" spans="1:8" ht="27.75">
      <c r="A2167" s="330"/>
      <c r="B2167" s="373"/>
      <c r="C2167" s="341"/>
      <c r="D2167" s="739" t="s">
        <v>762</v>
      </c>
      <c r="E2167" s="739"/>
      <c r="F2167" s="330"/>
      <c r="G2167" s="366"/>
      <c r="H2167" s="339"/>
    </row>
    <row r="2168" spans="1:8">
      <c r="A2168" s="330"/>
      <c r="B2168" s="356"/>
      <c r="G2168" s="357"/>
    </row>
    <row r="2169" spans="1:8">
      <c r="A2169" s="330"/>
      <c r="B2169" s="373"/>
      <c r="C2169" s="341"/>
      <c r="D2169" s="733"/>
      <c r="E2169" s="733"/>
      <c r="F2169" s="332"/>
      <c r="G2169" s="365"/>
      <c r="H2169" s="339"/>
    </row>
    <row r="2170" spans="1:8">
      <c r="A2170" s="330"/>
      <c r="B2170" s="356"/>
      <c r="D2170" s="733" t="s">
        <v>801</v>
      </c>
      <c r="E2170" s="733"/>
      <c r="G2170" s="357"/>
    </row>
    <row r="2171" spans="1:8">
      <c r="A2171" s="330"/>
      <c r="B2171" s="730"/>
      <c r="C2171" s="731"/>
      <c r="D2171" s="731"/>
      <c r="E2171" s="338"/>
      <c r="F2171" s="338"/>
      <c r="G2171" s="361"/>
      <c r="H2171" s="331"/>
    </row>
    <row r="2172" spans="1:8">
      <c r="A2172" s="330"/>
      <c r="B2172" s="730"/>
      <c r="C2172" s="731"/>
      <c r="D2172" s="731"/>
      <c r="E2172" s="338"/>
      <c r="F2172" s="338"/>
      <c r="G2172" s="361"/>
      <c r="H2172" s="331"/>
    </row>
    <row r="2173" spans="1:8">
      <c r="A2173" s="330"/>
      <c r="B2173" s="356"/>
      <c r="D2173" s="732" t="s">
        <v>806</v>
      </c>
      <c r="E2173" s="732"/>
      <c r="F2173" s="338"/>
      <c r="G2173" s="361"/>
    </row>
    <row r="2174" spans="1:8">
      <c r="A2174" s="330"/>
      <c r="B2174" s="354"/>
      <c r="C2174" s="331"/>
      <c r="D2174" s="331"/>
      <c r="E2174" s="338"/>
      <c r="F2174" s="338"/>
      <c r="G2174" s="361"/>
      <c r="H2174" s="331"/>
    </row>
    <row r="2175" spans="1:8">
      <c r="A2175" s="330"/>
      <c r="B2175" s="354"/>
      <c r="C2175" s="331"/>
      <c r="D2175" s="733" t="s">
        <v>802</v>
      </c>
      <c r="E2175" s="733"/>
      <c r="F2175" s="338"/>
      <c r="G2175" s="361"/>
      <c r="H2175" s="331"/>
    </row>
    <row r="2176" spans="1:8">
      <c r="A2176" s="330"/>
      <c r="B2176" s="354"/>
      <c r="C2176" s="331"/>
      <c r="D2176" s="734" t="s">
        <v>807</v>
      </c>
      <c r="E2176" s="734"/>
      <c r="F2176" s="338"/>
      <c r="G2176" s="361"/>
      <c r="H2176" s="331"/>
    </row>
    <row r="2177" spans="1:8">
      <c r="A2177" s="330"/>
      <c r="B2177" s="735"/>
      <c r="C2177" s="736"/>
      <c r="D2177" s="736"/>
      <c r="E2177" s="338"/>
      <c r="F2177" s="338"/>
      <c r="G2177" s="361"/>
    </row>
    <row r="2178" spans="1:8">
      <c r="A2178" s="330"/>
      <c r="B2178" s="735"/>
      <c r="C2178" s="736"/>
      <c r="D2178" s="736"/>
      <c r="E2178" s="338"/>
      <c r="F2178" s="338"/>
      <c r="G2178" s="361"/>
    </row>
    <row r="2179" spans="1:8">
      <c r="A2179" s="330"/>
      <c r="B2179" s="354"/>
      <c r="C2179" s="331"/>
      <c r="E2179" s="338"/>
      <c r="F2179" s="338"/>
      <c r="G2179" s="361"/>
    </row>
    <row r="2180" spans="1:8">
      <c r="A2180" s="330"/>
      <c r="B2180" s="737"/>
      <c r="C2180" s="738"/>
      <c r="D2180" s="738"/>
      <c r="E2180" s="338"/>
      <c r="F2180" s="338"/>
      <c r="G2180" s="361"/>
      <c r="H2180" s="331"/>
    </row>
    <row r="2181" spans="1:8">
      <c r="A2181" s="330"/>
      <c r="B2181" s="356"/>
      <c r="E2181" s="338"/>
      <c r="F2181" s="338"/>
      <c r="G2181" s="361"/>
    </row>
    <row r="2182" spans="1:8">
      <c r="A2182" s="330"/>
      <c r="B2182" s="356"/>
      <c r="E2182" s="338"/>
      <c r="F2182" s="338"/>
      <c r="G2182" s="361"/>
    </row>
    <row r="2183" spans="1:8">
      <c r="A2183" s="330"/>
      <c r="B2183" s="356"/>
      <c r="E2183" s="338"/>
      <c r="F2183" s="338"/>
      <c r="G2183" s="361"/>
      <c r="H2183" s="350"/>
    </row>
    <row r="2184" spans="1:8">
      <c r="A2184" s="330"/>
      <c r="B2184" s="356"/>
      <c r="E2184" s="338"/>
      <c r="F2184" s="338"/>
      <c r="G2184" s="361"/>
    </row>
    <row r="2185" spans="1:8">
      <c r="A2185" s="330"/>
      <c r="B2185" s="744"/>
      <c r="C2185" s="745"/>
      <c r="D2185" s="746"/>
      <c r="E2185" s="338"/>
      <c r="F2185" s="338"/>
      <c r="G2185" s="361"/>
      <c r="H2185" s="331"/>
    </row>
    <row r="2186" spans="1:8">
      <c r="A2186" s="330"/>
      <c r="B2186" s="356"/>
      <c r="D2186" s="357"/>
      <c r="E2186" s="338"/>
      <c r="F2186" s="338"/>
      <c r="G2186" s="361"/>
    </row>
    <row r="2187" spans="1:8">
      <c r="A2187" s="330"/>
      <c r="B2187" s="356"/>
      <c r="D2187" s="367" t="s">
        <v>797</v>
      </c>
      <c r="E2187" s="338"/>
      <c r="F2187" s="338"/>
      <c r="G2187" s="361"/>
    </row>
    <row r="2188" spans="1:8">
      <c r="A2188" s="330"/>
      <c r="B2188" s="356"/>
      <c r="D2188" s="357" t="s">
        <v>798</v>
      </c>
      <c r="E2188" s="338"/>
      <c r="F2188" s="338"/>
      <c r="G2188" s="361"/>
      <c r="H2188" s="351"/>
    </row>
    <row r="2189" spans="1:8">
      <c r="A2189" s="330"/>
      <c r="B2189" s="354"/>
      <c r="C2189" s="331"/>
      <c r="D2189" s="355" t="s">
        <v>799</v>
      </c>
      <c r="E2189" s="338"/>
      <c r="F2189" s="338"/>
      <c r="G2189" s="361"/>
      <c r="H2189" s="331"/>
    </row>
    <row r="2190" spans="1:8">
      <c r="A2190" s="330"/>
      <c r="B2190" s="354"/>
      <c r="C2190" s="331"/>
      <c r="D2190" s="355" t="s">
        <v>800</v>
      </c>
      <c r="E2190" s="338"/>
      <c r="F2190" s="338"/>
      <c r="G2190" s="361"/>
      <c r="H2190" s="331"/>
    </row>
    <row r="2191" spans="1:8">
      <c r="A2191" s="330"/>
      <c r="B2191" s="354"/>
      <c r="C2191" s="331"/>
      <c r="D2191" s="355"/>
      <c r="E2191" s="338"/>
      <c r="F2191" s="338"/>
      <c r="G2191" s="361"/>
      <c r="H2191" s="331"/>
    </row>
    <row r="2192" spans="1:8">
      <c r="A2192" s="330"/>
      <c r="B2192" s="354"/>
      <c r="C2192" s="331"/>
      <c r="D2192" s="355"/>
      <c r="E2192" s="338"/>
      <c r="F2192" s="338"/>
      <c r="G2192" s="361"/>
      <c r="H2192" s="331"/>
    </row>
    <row r="2193" spans="1:8">
      <c r="A2193" s="330"/>
      <c r="B2193" s="368"/>
      <c r="C2193" s="369"/>
      <c r="D2193" s="370"/>
      <c r="E2193" s="371"/>
      <c r="F2193" s="371"/>
      <c r="G2193" s="372"/>
      <c r="H2193" s="331"/>
    </row>
    <row r="2194" spans="1:8">
      <c r="A2194" s="330"/>
      <c r="E2194" s="338"/>
      <c r="F2194" s="338"/>
      <c r="G2194" s="338"/>
      <c r="H2194" s="345"/>
    </row>
  </sheetData>
  <mergeCells count="724">
    <mergeCell ref="D2176:E2176"/>
    <mergeCell ref="B2177:D2178"/>
    <mergeCell ref="B2180:D2180"/>
    <mergeCell ref="B2185:D2185"/>
    <mergeCell ref="B2163:E2163"/>
    <mergeCell ref="B2164:E2164"/>
    <mergeCell ref="B2166:E2166"/>
    <mergeCell ref="D2167:E2167"/>
    <mergeCell ref="D2169:E2169"/>
    <mergeCell ref="D2170:E2170"/>
    <mergeCell ref="B2171:D2172"/>
    <mergeCell ref="D2173:E2173"/>
    <mergeCell ref="D2175:E2175"/>
    <mergeCell ref="B2115:D2116"/>
    <mergeCell ref="B2118:D2118"/>
    <mergeCell ref="B2123:D2123"/>
    <mergeCell ref="B2135:E2135"/>
    <mergeCell ref="B2138:E2138"/>
    <mergeCell ref="D2141:E2154"/>
    <mergeCell ref="B2156:E2156"/>
    <mergeCell ref="B2159:E2160"/>
    <mergeCell ref="H2159:H2160"/>
    <mergeCell ref="B2102:E2102"/>
    <mergeCell ref="B2104:E2104"/>
    <mergeCell ref="D2105:E2105"/>
    <mergeCell ref="D2107:E2107"/>
    <mergeCell ref="D2108:E2108"/>
    <mergeCell ref="B2109:D2110"/>
    <mergeCell ref="D2111:E2111"/>
    <mergeCell ref="D2113:E2113"/>
    <mergeCell ref="D2114:E2114"/>
    <mergeCell ref="B2056:D2056"/>
    <mergeCell ref="B2061:D2061"/>
    <mergeCell ref="B2073:E2073"/>
    <mergeCell ref="B2076:E2076"/>
    <mergeCell ref="D2079:E2092"/>
    <mergeCell ref="B2094:E2094"/>
    <mergeCell ref="B2097:E2098"/>
    <mergeCell ref="H2097:H2098"/>
    <mergeCell ref="B2101:E2101"/>
    <mergeCell ref="B2042:E2042"/>
    <mergeCell ref="D2043:E2043"/>
    <mergeCell ref="D2045:E2045"/>
    <mergeCell ref="D2046:E2046"/>
    <mergeCell ref="B2047:D2048"/>
    <mergeCell ref="D2049:E2049"/>
    <mergeCell ref="D2051:E2051"/>
    <mergeCell ref="D2052:E2052"/>
    <mergeCell ref="B2053:D2054"/>
    <mergeCell ref="B1999:D1999"/>
    <mergeCell ref="B2011:E2011"/>
    <mergeCell ref="B2014:E2014"/>
    <mergeCell ref="D2017:E2030"/>
    <mergeCell ref="B2032:E2032"/>
    <mergeCell ref="B2035:E2036"/>
    <mergeCell ref="H2035:H2036"/>
    <mergeCell ref="B2039:E2039"/>
    <mergeCell ref="B2040:E2040"/>
    <mergeCell ref="D1981:E1981"/>
    <mergeCell ref="D1983:E1983"/>
    <mergeCell ref="D1984:E1984"/>
    <mergeCell ref="B1985:D1986"/>
    <mergeCell ref="D1987:E1987"/>
    <mergeCell ref="D1989:E1989"/>
    <mergeCell ref="D1990:E1990"/>
    <mergeCell ref="B1991:D1992"/>
    <mergeCell ref="B1994:D1994"/>
    <mergeCell ref="B1949:E1949"/>
    <mergeCell ref="B1952:E1952"/>
    <mergeCell ref="D1955:E1968"/>
    <mergeCell ref="B1970:E1970"/>
    <mergeCell ref="B1973:E1974"/>
    <mergeCell ref="H1973:H1974"/>
    <mergeCell ref="B1977:E1977"/>
    <mergeCell ref="B1978:E1978"/>
    <mergeCell ref="B1980:E1980"/>
    <mergeCell ref="B998:D998"/>
    <mergeCell ref="B1007:D1008"/>
    <mergeCell ref="D980:E980"/>
    <mergeCell ref="D982:E982"/>
    <mergeCell ref="D983:E983"/>
    <mergeCell ref="B984:D985"/>
    <mergeCell ref="D986:E986"/>
    <mergeCell ref="D988:E988"/>
    <mergeCell ref="D989:E989"/>
    <mergeCell ref="B990:D991"/>
    <mergeCell ref="B993:D993"/>
    <mergeCell ref="B948:E948"/>
    <mergeCell ref="B951:E951"/>
    <mergeCell ref="D954:E961"/>
    <mergeCell ref="B969:E969"/>
    <mergeCell ref="B972:E973"/>
    <mergeCell ref="H972:H973"/>
    <mergeCell ref="B976:E976"/>
    <mergeCell ref="B977:E977"/>
    <mergeCell ref="B979:E979"/>
    <mergeCell ref="D923:E923"/>
    <mergeCell ref="D925:E925"/>
    <mergeCell ref="D926:E926"/>
    <mergeCell ref="B927:D928"/>
    <mergeCell ref="B930:D930"/>
    <mergeCell ref="B935:D935"/>
    <mergeCell ref="B944:D945"/>
    <mergeCell ref="D891:E898"/>
    <mergeCell ref="B946:H947"/>
    <mergeCell ref="B909:E910"/>
    <mergeCell ref="H909:H910"/>
    <mergeCell ref="B913:E913"/>
    <mergeCell ref="B914:E914"/>
    <mergeCell ref="B916:E916"/>
    <mergeCell ref="D917:E917"/>
    <mergeCell ref="D919:E919"/>
    <mergeCell ref="D920:E920"/>
    <mergeCell ref="B921:D922"/>
    <mergeCell ref="B906:E906"/>
    <mergeCell ref="B883:H884"/>
    <mergeCell ref="B885:E885"/>
    <mergeCell ref="B888:E888"/>
    <mergeCell ref="B850:E850"/>
    <mergeCell ref="B851:E851"/>
    <mergeCell ref="B853:E853"/>
    <mergeCell ref="D854:E854"/>
    <mergeCell ref="D856:E856"/>
    <mergeCell ref="D857:E857"/>
    <mergeCell ref="B858:D859"/>
    <mergeCell ref="D860:E860"/>
    <mergeCell ref="D862:E862"/>
    <mergeCell ref="D863:E863"/>
    <mergeCell ref="B864:D865"/>
    <mergeCell ref="B780:E780"/>
    <mergeCell ref="B783:E784"/>
    <mergeCell ref="H783:H784"/>
    <mergeCell ref="B787:E787"/>
    <mergeCell ref="B788:E788"/>
    <mergeCell ref="B790:E790"/>
    <mergeCell ref="B867:D867"/>
    <mergeCell ref="B872:D872"/>
    <mergeCell ref="B881:D882"/>
    <mergeCell ref="D826:E837"/>
    <mergeCell ref="B820:H821"/>
    <mergeCell ref="B822:E822"/>
    <mergeCell ref="B825:E825"/>
    <mergeCell ref="B843:E843"/>
    <mergeCell ref="B846:E847"/>
    <mergeCell ref="H846:H847"/>
    <mergeCell ref="B795:D796"/>
    <mergeCell ref="D797:E797"/>
    <mergeCell ref="D799:E799"/>
    <mergeCell ref="D800:E800"/>
    <mergeCell ref="B801:D802"/>
    <mergeCell ref="B804:D804"/>
    <mergeCell ref="B809:D809"/>
    <mergeCell ref="B818:D819"/>
    <mergeCell ref="D793:E793"/>
    <mergeCell ref="D794:E794"/>
    <mergeCell ref="B717:E717"/>
    <mergeCell ref="B720:E721"/>
    <mergeCell ref="H720:H721"/>
    <mergeCell ref="B724:E724"/>
    <mergeCell ref="B725:E725"/>
    <mergeCell ref="B727:E727"/>
    <mergeCell ref="D728:E728"/>
    <mergeCell ref="D730:E730"/>
    <mergeCell ref="D731:E731"/>
    <mergeCell ref="D791:E791"/>
    <mergeCell ref="B732:D733"/>
    <mergeCell ref="D734:E734"/>
    <mergeCell ref="D736:E736"/>
    <mergeCell ref="D737:E737"/>
    <mergeCell ref="B738:D739"/>
    <mergeCell ref="B741:D741"/>
    <mergeCell ref="B746:D746"/>
    <mergeCell ref="B755:D756"/>
    <mergeCell ref="B757:H758"/>
    <mergeCell ref="B759:E759"/>
    <mergeCell ref="B762:E762"/>
    <mergeCell ref="D766:E771"/>
    <mergeCell ref="D674:E674"/>
    <mergeCell ref="B675:D676"/>
    <mergeCell ref="B678:D678"/>
    <mergeCell ref="B683:D683"/>
    <mergeCell ref="B692:D693"/>
    <mergeCell ref="B694:H695"/>
    <mergeCell ref="B696:E696"/>
    <mergeCell ref="B699:E699"/>
    <mergeCell ref="D703:E708"/>
    <mergeCell ref="B661:E661"/>
    <mergeCell ref="B662:E662"/>
    <mergeCell ref="B664:E664"/>
    <mergeCell ref="D665:E665"/>
    <mergeCell ref="D667:E667"/>
    <mergeCell ref="D668:E668"/>
    <mergeCell ref="B669:D670"/>
    <mergeCell ref="D671:E671"/>
    <mergeCell ref="D673:E673"/>
    <mergeCell ref="B615:D615"/>
    <mergeCell ref="B620:D620"/>
    <mergeCell ref="B629:D630"/>
    <mergeCell ref="B631:H632"/>
    <mergeCell ref="B633:E633"/>
    <mergeCell ref="B636:E636"/>
    <mergeCell ref="D640:E645"/>
    <mergeCell ref="B654:E654"/>
    <mergeCell ref="B657:E658"/>
    <mergeCell ref="H657:H658"/>
    <mergeCell ref="B1:H2"/>
    <mergeCell ref="B3:E3"/>
    <mergeCell ref="B6:E6"/>
    <mergeCell ref="D10:E10"/>
    <mergeCell ref="D13:E13"/>
    <mergeCell ref="D17:E17"/>
    <mergeCell ref="B568:H569"/>
    <mergeCell ref="B570:E570"/>
    <mergeCell ref="B573:E573"/>
    <mergeCell ref="D37:E37"/>
    <mergeCell ref="D38:E38"/>
    <mergeCell ref="B39:D40"/>
    <mergeCell ref="D41:E41"/>
    <mergeCell ref="D43:E43"/>
    <mergeCell ref="D35:E35"/>
    <mergeCell ref="B24:E24"/>
    <mergeCell ref="B27:E28"/>
    <mergeCell ref="H27:H28"/>
    <mergeCell ref="B31:E31"/>
    <mergeCell ref="B32:E32"/>
    <mergeCell ref="B34:E34"/>
    <mergeCell ref="B64:H65"/>
    <mergeCell ref="B66:E66"/>
    <mergeCell ref="B69:E69"/>
    <mergeCell ref="D73:E73"/>
    <mergeCell ref="D76:E76"/>
    <mergeCell ref="D80:E80"/>
    <mergeCell ref="D44:E44"/>
    <mergeCell ref="B45:D46"/>
    <mergeCell ref="B48:D48"/>
    <mergeCell ref="B53:D53"/>
    <mergeCell ref="B62:D63"/>
    <mergeCell ref="D98:E98"/>
    <mergeCell ref="D100:E100"/>
    <mergeCell ref="D101:E101"/>
    <mergeCell ref="B102:D103"/>
    <mergeCell ref="D104:E104"/>
    <mergeCell ref="D106:E106"/>
    <mergeCell ref="B87:E87"/>
    <mergeCell ref="B90:E91"/>
    <mergeCell ref="H90:H91"/>
    <mergeCell ref="B94:E94"/>
    <mergeCell ref="B95:E95"/>
    <mergeCell ref="B97:E97"/>
    <mergeCell ref="B129:E129"/>
    <mergeCell ref="B132:E132"/>
    <mergeCell ref="D136:E136"/>
    <mergeCell ref="D139:E139"/>
    <mergeCell ref="D143:E143"/>
    <mergeCell ref="B150:E150"/>
    <mergeCell ref="D107:E107"/>
    <mergeCell ref="B108:D109"/>
    <mergeCell ref="B111:D111"/>
    <mergeCell ref="B116:D116"/>
    <mergeCell ref="B125:D126"/>
    <mergeCell ref="B127:H128"/>
    <mergeCell ref="D163:E163"/>
    <mergeCell ref="D164:E164"/>
    <mergeCell ref="B165:D166"/>
    <mergeCell ref="D167:E167"/>
    <mergeCell ref="D169:E169"/>
    <mergeCell ref="D170:E170"/>
    <mergeCell ref="B153:E154"/>
    <mergeCell ref="H153:H154"/>
    <mergeCell ref="B157:E157"/>
    <mergeCell ref="B158:E158"/>
    <mergeCell ref="B160:E160"/>
    <mergeCell ref="D161:E161"/>
    <mergeCell ref="B195:E195"/>
    <mergeCell ref="D199:E199"/>
    <mergeCell ref="D202:E202"/>
    <mergeCell ref="D206:E206"/>
    <mergeCell ref="B213:E213"/>
    <mergeCell ref="B216:E217"/>
    <mergeCell ref="B171:D172"/>
    <mergeCell ref="B174:D174"/>
    <mergeCell ref="B179:D179"/>
    <mergeCell ref="B188:D189"/>
    <mergeCell ref="B190:H191"/>
    <mergeCell ref="B192:E192"/>
    <mergeCell ref="D204:E204"/>
    <mergeCell ref="D227:E227"/>
    <mergeCell ref="B228:D229"/>
    <mergeCell ref="D230:E230"/>
    <mergeCell ref="D232:E232"/>
    <mergeCell ref="D233:E233"/>
    <mergeCell ref="B234:D235"/>
    <mergeCell ref="H216:H217"/>
    <mergeCell ref="B220:E220"/>
    <mergeCell ref="B221:E221"/>
    <mergeCell ref="B223:E223"/>
    <mergeCell ref="D224:E224"/>
    <mergeCell ref="D226:E226"/>
    <mergeCell ref="B258:E258"/>
    <mergeCell ref="D262:E262"/>
    <mergeCell ref="D265:E265"/>
    <mergeCell ref="D267:E267"/>
    <mergeCell ref="D269:E269"/>
    <mergeCell ref="B276:E276"/>
    <mergeCell ref="B237:D237"/>
    <mergeCell ref="B242:D242"/>
    <mergeCell ref="B251:D252"/>
    <mergeCell ref="B253:H254"/>
    <mergeCell ref="B255:E255"/>
    <mergeCell ref="D270:E270"/>
    <mergeCell ref="D271:E271"/>
    <mergeCell ref="D289:E289"/>
    <mergeCell ref="D290:E290"/>
    <mergeCell ref="B291:D292"/>
    <mergeCell ref="D293:E293"/>
    <mergeCell ref="D295:E295"/>
    <mergeCell ref="D296:E296"/>
    <mergeCell ref="B279:E280"/>
    <mergeCell ref="H279:H280"/>
    <mergeCell ref="B283:E283"/>
    <mergeCell ref="B284:E284"/>
    <mergeCell ref="B286:E286"/>
    <mergeCell ref="D287:E287"/>
    <mergeCell ref="B321:E321"/>
    <mergeCell ref="D325:E325"/>
    <mergeCell ref="D328:E328"/>
    <mergeCell ref="D330:E330"/>
    <mergeCell ref="D332:E332"/>
    <mergeCell ref="B339:E339"/>
    <mergeCell ref="B297:D298"/>
    <mergeCell ref="B300:D300"/>
    <mergeCell ref="B305:D305"/>
    <mergeCell ref="B314:D315"/>
    <mergeCell ref="B316:H317"/>
    <mergeCell ref="B318:E318"/>
    <mergeCell ref="D352:E352"/>
    <mergeCell ref="D353:E353"/>
    <mergeCell ref="B354:D355"/>
    <mergeCell ref="D356:E356"/>
    <mergeCell ref="D358:E358"/>
    <mergeCell ref="D359:E359"/>
    <mergeCell ref="B342:E343"/>
    <mergeCell ref="H342:H343"/>
    <mergeCell ref="B346:E346"/>
    <mergeCell ref="B347:E347"/>
    <mergeCell ref="B349:E349"/>
    <mergeCell ref="D350:E350"/>
    <mergeCell ref="B384:E384"/>
    <mergeCell ref="D388:E388"/>
    <mergeCell ref="D391:E391"/>
    <mergeCell ref="D393:E393"/>
    <mergeCell ref="B402:E402"/>
    <mergeCell ref="B360:D361"/>
    <mergeCell ref="B363:D363"/>
    <mergeCell ref="B368:D368"/>
    <mergeCell ref="B377:D378"/>
    <mergeCell ref="B379:H380"/>
    <mergeCell ref="B381:E381"/>
    <mergeCell ref="D415:E415"/>
    <mergeCell ref="D416:E416"/>
    <mergeCell ref="B417:D418"/>
    <mergeCell ref="D419:E419"/>
    <mergeCell ref="D421:E421"/>
    <mergeCell ref="D422:E422"/>
    <mergeCell ref="B405:E406"/>
    <mergeCell ref="H405:H406"/>
    <mergeCell ref="B409:E409"/>
    <mergeCell ref="B410:E410"/>
    <mergeCell ref="B412:E412"/>
    <mergeCell ref="D413:E413"/>
    <mergeCell ref="B447:E447"/>
    <mergeCell ref="B465:E465"/>
    <mergeCell ref="B468:E469"/>
    <mergeCell ref="B423:D424"/>
    <mergeCell ref="B426:D426"/>
    <mergeCell ref="B431:D431"/>
    <mergeCell ref="B440:D441"/>
    <mergeCell ref="B442:H443"/>
    <mergeCell ref="B444:E444"/>
    <mergeCell ref="D451:E456"/>
    <mergeCell ref="D479:E479"/>
    <mergeCell ref="B480:D481"/>
    <mergeCell ref="D482:E482"/>
    <mergeCell ref="D484:E484"/>
    <mergeCell ref="D485:E485"/>
    <mergeCell ref="B486:D487"/>
    <mergeCell ref="H468:H469"/>
    <mergeCell ref="B472:E472"/>
    <mergeCell ref="B473:E473"/>
    <mergeCell ref="B475:E475"/>
    <mergeCell ref="D476:E476"/>
    <mergeCell ref="D478:E478"/>
    <mergeCell ref="B510:E510"/>
    <mergeCell ref="B528:E528"/>
    <mergeCell ref="B531:E532"/>
    <mergeCell ref="H531:H532"/>
    <mergeCell ref="B535:E535"/>
    <mergeCell ref="B489:D489"/>
    <mergeCell ref="B494:D494"/>
    <mergeCell ref="B503:D504"/>
    <mergeCell ref="B505:H506"/>
    <mergeCell ref="B507:E507"/>
    <mergeCell ref="D513:E521"/>
    <mergeCell ref="D545:E545"/>
    <mergeCell ref="D547:E547"/>
    <mergeCell ref="D548:E548"/>
    <mergeCell ref="B549:D550"/>
    <mergeCell ref="B552:D552"/>
    <mergeCell ref="B557:D557"/>
    <mergeCell ref="B536:E536"/>
    <mergeCell ref="B538:E538"/>
    <mergeCell ref="D539:E539"/>
    <mergeCell ref="D541:E541"/>
    <mergeCell ref="D542:E542"/>
    <mergeCell ref="B543:D544"/>
    <mergeCell ref="B1010:H1011"/>
    <mergeCell ref="B1012:E1012"/>
    <mergeCell ref="B1015:E1015"/>
    <mergeCell ref="B1033:E1033"/>
    <mergeCell ref="B1036:E1037"/>
    <mergeCell ref="H1036:H1037"/>
    <mergeCell ref="B1040:E1040"/>
    <mergeCell ref="B1041:E1041"/>
    <mergeCell ref="B566:D567"/>
    <mergeCell ref="B591:E591"/>
    <mergeCell ref="B594:E595"/>
    <mergeCell ref="H594:H595"/>
    <mergeCell ref="B598:E598"/>
    <mergeCell ref="B599:E599"/>
    <mergeCell ref="B601:E601"/>
    <mergeCell ref="D602:E602"/>
    <mergeCell ref="D604:E604"/>
    <mergeCell ref="D576:E584"/>
    <mergeCell ref="D605:E605"/>
    <mergeCell ref="B606:D607"/>
    <mergeCell ref="D608:E608"/>
    <mergeCell ref="D610:E610"/>
    <mergeCell ref="D611:E611"/>
    <mergeCell ref="B612:D613"/>
    <mergeCell ref="B1057:D1057"/>
    <mergeCell ref="B1062:D1062"/>
    <mergeCell ref="B1071:D1072"/>
    <mergeCell ref="B1043:E1043"/>
    <mergeCell ref="D1044:E1044"/>
    <mergeCell ref="D1046:E1046"/>
    <mergeCell ref="D1047:E1047"/>
    <mergeCell ref="B1048:D1049"/>
    <mergeCell ref="D1050:E1050"/>
    <mergeCell ref="D1052:E1052"/>
    <mergeCell ref="D1053:E1053"/>
    <mergeCell ref="B1054:D1055"/>
    <mergeCell ref="B1074:H1075"/>
    <mergeCell ref="B1076:E1076"/>
    <mergeCell ref="B1079:E1079"/>
    <mergeCell ref="D1082:E1089"/>
    <mergeCell ref="B1097:E1097"/>
    <mergeCell ref="B1100:E1101"/>
    <mergeCell ref="H1100:H1101"/>
    <mergeCell ref="B1104:E1104"/>
    <mergeCell ref="B1105:E1105"/>
    <mergeCell ref="B1107:E1107"/>
    <mergeCell ref="D1108:E1108"/>
    <mergeCell ref="D1110:E1110"/>
    <mergeCell ref="D1111:E1111"/>
    <mergeCell ref="B1112:D1113"/>
    <mergeCell ref="D1114:E1114"/>
    <mergeCell ref="D1116:E1116"/>
    <mergeCell ref="D1117:E1117"/>
    <mergeCell ref="B1118:D1119"/>
    <mergeCell ref="B1121:D1121"/>
    <mergeCell ref="B1126:D1126"/>
    <mergeCell ref="B1135:D1136"/>
    <mergeCell ref="B1138:H1139"/>
    <mergeCell ref="B1140:E1140"/>
    <mergeCell ref="B1143:E1143"/>
    <mergeCell ref="D1146:E1153"/>
    <mergeCell ref="B1161:E1161"/>
    <mergeCell ref="B1164:E1165"/>
    <mergeCell ref="H1164:H1165"/>
    <mergeCell ref="B1168:E1168"/>
    <mergeCell ref="B1169:E1169"/>
    <mergeCell ref="B1171:E1171"/>
    <mergeCell ref="D1172:E1172"/>
    <mergeCell ref="D1174:E1174"/>
    <mergeCell ref="D1175:E1175"/>
    <mergeCell ref="B1176:D1177"/>
    <mergeCell ref="D1178:E1178"/>
    <mergeCell ref="D1180:E1180"/>
    <mergeCell ref="D1181:E1181"/>
    <mergeCell ref="B1182:D1183"/>
    <mergeCell ref="B1185:D1185"/>
    <mergeCell ref="B1190:D1190"/>
    <mergeCell ref="B1199:D1200"/>
    <mergeCell ref="B1201:H1202"/>
    <mergeCell ref="B1203:E1203"/>
    <mergeCell ref="B1206:E1206"/>
    <mergeCell ref="D1209:E1216"/>
    <mergeCell ref="B1224:E1224"/>
    <mergeCell ref="B1227:E1228"/>
    <mergeCell ref="H1227:H1228"/>
    <mergeCell ref="B1231:E1231"/>
    <mergeCell ref="B1232:E1232"/>
    <mergeCell ref="B1234:E1234"/>
    <mergeCell ref="D1235:E1235"/>
    <mergeCell ref="D1237:E1237"/>
    <mergeCell ref="D1238:E1238"/>
    <mergeCell ref="B1239:D1240"/>
    <mergeCell ref="D1241:E1241"/>
    <mergeCell ref="D1243:E1243"/>
    <mergeCell ref="D1244:E1244"/>
    <mergeCell ref="B1245:D1246"/>
    <mergeCell ref="B1248:D1248"/>
    <mergeCell ref="B1253:D1253"/>
    <mergeCell ref="B1262:D1263"/>
    <mergeCell ref="B1264:E1264"/>
    <mergeCell ref="B1267:E1267"/>
    <mergeCell ref="B1285:E1285"/>
    <mergeCell ref="B1288:E1289"/>
    <mergeCell ref="H1288:H1289"/>
    <mergeCell ref="B1292:E1292"/>
    <mergeCell ref="B1293:E1293"/>
    <mergeCell ref="B1295:E1295"/>
    <mergeCell ref="D1296:E1296"/>
    <mergeCell ref="D1270:E1283"/>
    <mergeCell ref="D1298:E1298"/>
    <mergeCell ref="D1299:E1299"/>
    <mergeCell ref="B1300:D1301"/>
    <mergeCell ref="D1302:E1302"/>
    <mergeCell ref="D1304:E1304"/>
    <mergeCell ref="D1305:E1305"/>
    <mergeCell ref="B1306:D1307"/>
    <mergeCell ref="B1309:D1309"/>
    <mergeCell ref="B1314:D1314"/>
    <mergeCell ref="B1326:E1326"/>
    <mergeCell ref="B1329:E1329"/>
    <mergeCell ref="D1332:E1345"/>
    <mergeCell ref="B1347:E1347"/>
    <mergeCell ref="B1350:E1351"/>
    <mergeCell ref="H1350:H1351"/>
    <mergeCell ref="B1354:E1354"/>
    <mergeCell ref="B1355:E1355"/>
    <mergeCell ref="B1357:E1357"/>
    <mergeCell ref="D1358:E1358"/>
    <mergeCell ref="D1360:E1360"/>
    <mergeCell ref="D1361:E1361"/>
    <mergeCell ref="B1362:D1363"/>
    <mergeCell ref="D1364:E1364"/>
    <mergeCell ref="D1366:E1366"/>
    <mergeCell ref="D1367:E1367"/>
    <mergeCell ref="B1368:D1369"/>
    <mergeCell ref="B1371:D1371"/>
    <mergeCell ref="B1376:D1376"/>
    <mergeCell ref="B1388:E1388"/>
    <mergeCell ref="B1391:E1391"/>
    <mergeCell ref="D1394:E1407"/>
    <mergeCell ref="B1409:E1409"/>
    <mergeCell ref="B1412:E1413"/>
    <mergeCell ref="H1412:H1413"/>
    <mergeCell ref="B1416:E1416"/>
    <mergeCell ref="B1417:E1417"/>
    <mergeCell ref="B1419:E1419"/>
    <mergeCell ref="D1420:E1420"/>
    <mergeCell ref="D1422:E1422"/>
    <mergeCell ref="D1423:E1423"/>
    <mergeCell ref="B1424:D1425"/>
    <mergeCell ref="D1426:E1426"/>
    <mergeCell ref="D1428:E1428"/>
    <mergeCell ref="D1429:E1429"/>
    <mergeCell ref="B1430:D1431"/>
    <mergeCell ref="B1433:D1433"/>
    <mergeCell ref="B1438:D1438"/>
    <mergeCell ref="B1450:E1450"/>
    <mergeCell ref="B1453:E1453"/>
    <mergeCell ref="D1456:E1469"/>
    <mergeCell ref="B1471:E1471"/>
    <mergeCell ref="B1474:E1475"/>
    <mergeCell ref="H1474:H1475"/>
    <mergeCell ref="B1478:E1478"/>
    <mergeCell ref="B1533:E1533"/>
    <mergeCell ref="B1536:E1537"/>
    <mergeCell ref="H1536:H1537"/>
    <mergeCell ref="B1479:E1479"/>
    <mergeCell ref="B1481:E1481"/>
    <mergeCell ref="D1482:E1482"/>
    <mergeCell ref="D1484:E1484"/>
    <mergeCell ref="D1485:E1485"/>
    <mergeCell ref="B1486:D1487"/>
    <mergeCell ref="D1488:E1488"/>
    <mergeCell ref="D1490:E1490"/>
    <mergeCell ref="D1491:E1491"/>
    <mergeCell ref="D1553:E1553"/>
    <mergeCell ref="B1554:D1555"/>
    <mergeCell ref="B1557:D1557"/>
    <mergeCell ref="B1562:D1562"/>
    <mergeCell ref="D1018:E1028"/>
    <mergeCell ref="B1575:E1575"/>
    <mergeCell ref="B1578:E1578"/>
    <mergeCell ref="D1581:E1594"/>
    <mergeCell ref="B1596:E1596"/>
    <mergeCell ref="B1540:E1540"/>
    <mergeCell ref="B1541:E1541"/>
    <mergeCell ref="B1543:E1543"/>
    <mergeCell ref="D1544:E1544"/>
    <mergeCell ref="D1546:E1546"/>
    <mergeCell ref="D1547:E1547"/>
    <mergeCell ref="B1548:D1549"/>
    <mergeCell ref="D1550:E1550"/>
    <mergeCell ref="D1552:E1552"/>
    <mergeCell ref="B1492:D1493"/>
    <mergeCell ref="B1495:D1495"/>
    <mergeCell ref="B1500:D1500"/>
    <mergeCell ref="B1512:E1512"/>
    <mergeCell ref="B1515:E1515"/>
    <mergeCell ref="D1518:E1531"/>
    <mergeCell ref="B1599:E1600"/>
    <mergeCell ref="H1599:H1600"/>
    <mergeCell ref="B1603:E1603"/>
    <mergeCell ref="B1604:E1604"/>
    <mergeCell ref="B1606:E1606"/>
    <mergeCell ref="D1607:E1607"/>
    <mergeCell ref="D1609:E1609"/>
    <mergeCell ref="D1610:E1610"/>
    <mergeCell ref="B1611:D1612"/>
    <mergeCell ref="D1613:E1613"/>
    <mergeCell ref="D1615:E1615"/>
    <mergeCell ref="D1616:E1616"/>
    <mergeCell ref="B1617:D1618"/>
    <mergeCell ref="B1620:D1620"/>
    <mergeCell ref="B1625:D1625"/>
    <mergeCell ref="B1638:E1638"/>
    <mergeCell ref="B1641:E1641"/>
    <mergeCell ref="D1644:E1657"/>
    <mergeCell ref="B1659:E1659"/>
    <mergeCell ref="B1662:E1663"/>
    <mergeCell ref="H1662:H1663"/>
    <mergeCell ref="B1666:E1666"/>
    <mergeCell ref="B1667:E1667"/>
    <mergeCell ref="B1669:E1669"/>
    <mergeCell ref="D1670:E1670"/>
    <mergeCell ref="D1672:E1672"/>
    <mergeCell ref="D1673:E1673"/>
    <mergeCell ref="B1674:D1675"/>
    <mergeCell ref="D1676:E1676"/>
    <mergeCell ref="D1678:E1678"/>
    <mergeCell ref="D1679:E1679"/>
    <mergeCell ref="B1680:D1681"/>
    <mergeCell ref="B1683:D1683"/>
    <mergeCell ref="B1688:D1688"/>
    <mergeCell ref="B1700:E1700"/>
    <mergeCell ref="B1703:E1703"/>
    <mergeCell ref="D1706:E1719"/>
    <mergeCell ref="B1721:E1721"/>
    <mergeCell ref="B1724:E1725"/>
    <mergeCell ref="H1724:H1725"/>
    <mergeCell ref="B1728:E1728"/>
    <mergeCell ref="B1729:E1729"/>
    <mergeCell ref="B1731:E1731"/>
    <mergeCell ref="D1732:E1732"/>
    <mergeCell ref="D1734:E1734"/>
    <mergeCell ref="D1735:E1735"/>
    <mergeCell ref="B1736:D1737"/>
    <mergeCell ref="D1738:E1738"/>
    <mergeCell ref="D1740:E1740"/>
    <mergeCell ref="D1741:E1741"/>
    <mergeCell ref="B1742:D1743"/>
    <mergeCell ref="B1745:D1745"/>
    <mergeCell ref="B1750:D1750"/>
    <mergeCell ref="B1762:E1762"/>
    <mergeCell ref="B1765:E1765"/>
    <mergeCell ref="D1768:E1781"/>
    <mergeCell ref="B1783:E1783"/>
    <mergeCell ref="B1786:E1787"/>
    <mergeCell ref="H1786:H1787"/>
    <mergeCell ref="B1790:E1790"/>
    <mergeCell ref="B1791:E1791"/>
    <mergeCell ref="B1793:E1793"/>
    <mergeCell ref="D1794:E1794"/>
    <mergeCell ref="D1796:E1796"/>
    <mergeCell ref="D1797:E1797"/>
    <mergeCell ref="B1798:D1799"/>
    <mergeCell ref="D1800:E1800"/>
    <mergeCell ref="D1802:E1802"/>
    <mergeCell ref="D1803:E1803"/>
    <mergeCell ref="B1804:D1805"/>
    <mergeCell ref="B1807:D1807"/>
    <mergeCell ref="B1812:D1812"/>
    <mergeCell ref="B1825:E1825"/>
    <mergeCell ref="B1828:E1828"/>
    <mergeCell ref="D1831:E1844"/>
    <mergeCell ref="B1846:E1846"/>
    <mergeCell ref="B1849:E1850"/>
    <mergeCell ref="H1849:H1850"/>
    <mergeCell ref="B1853:E1853"/>
    <mergeCell ref="B1854:E1854"/>
    <mergeCell ref="B1856:E1856"/>
    <mergeCell ref="B1875:D1875"/>
    <mergeCell ref="D1857:E1857"/>
    <mergeCell ref="D1859:E1859"/>
    <mergeCell ref="D1860:E1860"/>
    <mergeCell ref="B1861:D1862"/>
    <mergeCell ref="D1863:E1863"/>
    <mergeCell ref="D1865:E1865"/>
    <mergeCell ref="D1866:E1866"/>
    <mergeCell ref="B1867:D1868"/>
    <mergeCell ref="B1870:D1870"/>
    <mergeCell ref="B1887:E1887"/>
    <mergeCell ref="B1890:E1890"/>
    <mergeCell ref="D1893:E1906"/>
    <mergeCell ref="B1908:E1908"/>
    <mergeCell ref="B1911:E1912"/>
    <mergeCell ref="H1911:H1912"/>
    <mergeCell ref="B1915:E1915"/>
    <mergeCell ref="B1916:E1916"/>
    <mergeCell ref="B1918:E1918"/>
    <mergeCell ref="B1937:D1937"/>
    <mergeCell ref="D1919:E1919"/>
    <mergeCell ref="D1921:E1921"/>
    <mergeCell ref="D1922:E1922"/>
    <mergeCell ref="B1923:D1924"/>
    <mergeCell ref="D1925:E1925"/>
    <mergeCell ref="D1927:E1927"/>
    <mergeCell ref="D1928:E1928"/>
    <mergeCell ref="B1929:D1930"/>
    <mergeCell ref="B1932:D1932"/>
  </mergeCells>
  <pageMargins left="0.25" right="0.25" top="0.75" bottom="0.75" header="0.3" footer="0.3"/>
  <pageSetup paperSize="9" scale="74" orientation="portrait" r:id="rId1"/>
  <rowBreaks count="15" manualBreakCount="15">
    <brk id="882" max="7" man="1"/>
    <brk id="945" max="7" man="1"/>
    <brk id="1262" max="7" man="1"/>
    <brk id="1324" max="7" man="1"/>
    <brk id="1386" max="7" man="1"/>
    <brk id="1448" max="7" man="1"/>
    <brk id="1509" max="7" man="1"/>
    <brk id="1572" max="7" man="1"/>
    <brk id="1698" max="7" man="1"/>
    <brk id="1759" max="7" man="1"/>
    <brk id="1885" max="7" man="1"/>
    <brk id="1947" max="7" man="1"/>
    <brk id="2009" max="7" man="1"/>
    <brk id="2071" max="7" man="1"/>
    <brk id="2133"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view="pageBreakPreview" topLeftCell="A19" zoomScale="85" zoomScaleSheetLayoutView="85" workbookViewId="0">
      <selection activeCell="B34" sqref="B34"/>
    </sheetView>
  </sheetViews>
  <sheetFormatPr defaultColWidth="9.140625" defaultRowHeight="15"/>
  <cols>
    <col min="1" max="1" width="12.85546875" style="273" customWidth="1"/>
    <col min="2" max="2" width="56" style="273" customWidth="1"/>
    <col min="3" max="3" width="26.28515625" style="273" customWidth="1"/>
    <col min="4" max="4" width="20.7109375" style="273" customWidth="1"/>
    <col min="5" max="5" width="29.42578125" style="273" customWidth="1"/>
    <col min="6" max="16384" width="9.140625" style="273"/>
  </cols>
  <sheetData>
    <row r="1" spans="1:5" ht="26.25" customHeight="1">
      <c r="A1" s="1084" t="s">
        <v>620</v>
      </c>
      <c r="B1" s="1084"/>
      <c r="C1" s="1084"/>
      <c r="D1" s="1084"/>
      <c r="E1" s="1084"/>
    </row>
    <row r="2" spans="1:5" ht="26.25" customHeight="1">
      <c r="A2" s="1085" t="s">
        <v>616</v>
      </c>
      <c r="B2" s="1085"/>
      <c r="C2" s="1085"/>
      <c r="D2" s="1085"/>
      <c r="E2" s="1085"/>
    </row>
    <row r="3" spans="1:5" ht="23.25" customHeight="1">
      <c r="A3" s="1086" t="s">
        <v>587</v>
      </c>
      <c r="B3" s="1086"/>
      <c r="C3" s="1086"/>
      <c r="D3" s="1086"/>
      <c r="E3" s="1086"/>
    </row>
    <row r="4" spans="1:5" ht="240.75" customHeight="1">
      <c r="A4" s="1050" t="s">
        <v>621</v>
      </c>
      <c r="B4" s="1050"/>
      <c r="C4" s="1050"/>
      <c r="D4" s="1050"/>
      <c r="E4" s="1050"/>
    </row>
    <row r="5" spans="1:5" ht="23.25" customHeight="1">
      <c r="A5" s="1086" t="s">
        <v>588</v>
      </c>
      <c r="B5" s="1086"/>
      <c r="C5" s="1086"/>
      <c r="D5" s="1086"/>
      <c r="E5" s="1086"/>
    </row>
    <row r="6" spans="1:5" ht="108" customHeight="1">
      <c r="A6" s="1091" t="s">
        <v>659</v>
      </c>
      <c r="B6" s="1092"/>
      <c r="C6" s="1092"/>
      <c r="D6" s="1092"/>
      <c r="E6" s="1093"/>
    </row>
    <row r="7" spans="1:5" ht="23.25" customHeight="1">
      <c r="A7" s="1094" t="s">
        <v>622</v>
      </c>
      <c r="B7" s="1094"/>
      <c r="C7" s="1094"/>
      <c r="D7" s="1094"/>
      <c r="E7" s="1094"/>
    </row>
    <row r="8" spans="1:5" ht="125.25" customHeight="1">
      <c r="A8" s="1050" t="s">
        <v>658</v>
      </c>
      <c r="B8" s="1050"/>
      <c r="C8" s="1050"/>
      <c r="D8" s="1050"/>
      <c r="E8" s="1050"/>
    </row>
    <row r="9" spans="1:5" ht="23.25">
      <c r="A9" s="1086" t="s">
        <v>613</v>
      </c>
      <c r="B9" s="1086"/>
      <c r="C9" s="1086"/>
      <c r="D9" s="1086"/>
      <c r="E9" s="1086"/>
    </row>
    <row r="10" spans="1:5">
      <c r="A10" s="273" t="s">
        <v>589</v>
      </c>
      <c r="B10" s="273" t="s">
        <v>151</v>
      </c>
    </row>
    <row r="11" spans="1:5" ht="20.25" customHeight="1">
      <c r="A11" s="276"/>
      <c r="B11" s="1095" t="s">
        <v>406</v>
      </c>
      <c r="C11" s="1096"/>
      <c r="D11" s="1096"/>
      <c r="E11" s="1097"/>
    </row>
    <row r="12" spans="1:5">
      <c r="A12" s="277"/>
      <c r="B12" s="1087" t="s">
        <v>407</v>
      </c>
      <c r="C12" s="1087"/>
      <c r="D12" s="1087"/>
      <c r="E12" s="1087"/>
    </row>
    <row r="13" spans="1:5">
      <c r="A13" s="998"/>
      <c r="B13" s="998"/>
      <c r="C13" s="998"/>
      <c r="D13" s="998"/>
      <c r="E13" s="999"/>
    </row>
    <row r="14" spans="1:5" ht="23.25">
      <c r="A14" s="1086" t="s">
        <v>614</v>
      </c>
      <c r="B14" s="1086"/>
      <c r="C14" s="1086"/>
      <c r="D14" s="1086"/>
      <c r="E14" s="1086"/>
    </row>
    <row r="15" spans="1:5">
      <c r="A15" s="274" t="s">
        <v>585</v>
      </c>
      <c r="B15" s="274" t="s">
        <v>623</v>
      </c>
      <c r="C15" s="274" t="s">
        <v>454</v>
      </c>
      <c r="D15" s="274" t="s">
        <v>593</v>
      </c>
      <c r="E15" s="274" t="s">
        <v>586</v>
      </c>
    </row>
    <row r="16" spans="1:5">
      <c r="A16" s="280" t="s">
        <v>174</v>
      </c>
      <c r="B16" s="280" t="s">
        <v>624</v>
      </c>
      <c r="C16" s="280"/>
      <c r="D16" s="280"/>
      <c r="E16" s="280"/>
    </row>
    <row r="17" spans="1:5" ht="60">
      <c r="A17" s="281" t="s">
        <v>603</v>
      </c>
      <c r="B17" s="275" t="s">
        <v>610</v>
      </c>
      <c r="C17" s="275" t="s">
        <v>655</v>
      </c>
      <c r="D17" s="275" t="s">
        <v>625</v>
      </c>
      <c r="E17" s="275"/>
    </row>
    <row r="18" spans="1:5" ht="90">
      <c r="A18" s="281" t="s">
        <v>604</v>
      </c>
      <c r="B18" s="275" t="s">
        <v>590</v>
      </c>
      <c r="C18" s="275" t="s">
        <v>656</v>
      </c>
      <c r="D18" s="275" t="s">
        <v>626</v>
      </c>
      <c r="E18" s="275"/>
    </row>
    <row r="19" spans="1:5" ht="26.25" customHeight="1">
      <c r="A19" s="281" t="s">
        <v>605</v>
      </c>
      <c r="B19" s="236" t="s">
        <v>617</v>
      </c>
      <c r="C19" s="275" t="s">
        <v>627</v>
      </c>
      <c r="D19" s="275" t="s">
        <v>628</v>
      </c>
      <c r="E19" s="275" t="s">
        <v>615</v>
      </c>
    </row>
    <row r="20" spans="1:5" ht="30">
      <c r="A20" s="281" t="s">
        <v>606</v>
      </c>
      <c r="B20" s="275" t="s">
        <v>657</v>
      </c>
      <c r="C20" s="275"/>
      <c r="D20" s="275"/>
      <c r="E20" s="275"/>
    </row>
    <row r="21" spans="1:5">
      <c r="A21" s="275">
        <v>4.0999999999999996</v>
      </c>
      <c r="B21" s="275" t="s">
        <v>597</v>
      </c>
      <c r="C21" s="1088" t="s">
        <v>629</v>
      </c>
      <c r="D21" s="275" t="s">
        <v>630</v>
      </c>
      <c r="E21" s="275"/>
    </row>
    <row r="22" spans="1:5" ht="30">
      <c r="A22" s="275">
        <v>4.2</v>
      </c>
      <c r="B22" s="275" t="s">
        <v>601</v>
      </c>
      <c r="C22" s="1089"/>
      <c r="D22" s="275" t="s">
        <v>631</v>
      </c>
      <c r="E22" s="275"/>
    </row>
    <row r="23" spans="1:5">
      <c r="A23" s="275">
        <v>4.3</v>
      </c>
      <c r="B23" s="275" t="s">
        <v>598</v>
      </c>
      <c r="C23" s="1089"/>
      <c r="D23" s="275" t="s">
        <v>632</v>
      </c>
      <c r="E23" s="275"/>
    </row>
    <row r="24" spans="1:5">
      <c r="A24" s="275">
        <v>4.4000000000000004</v>
      </c>
      <c r="B24" s="275" t="s">
        <v>599</v>
      </c>
      <c r="C24" s="1089"/>
      <c r="D24" s="275" t="s">
        <v>633</v>
      </c>
      <c r="E24" s="275"/>
    </row>
    <row r="25" spans="1:5">
      <c r="A25" s="275">
        <v>4.5</v>
      </c>
      <c r="B25" s="275" t="s">
        <v>600</v>
      </c>
      <c r="C25" s="1089"/>
      <c r="D25" s="275" t="s">
        <v>634</v>
      </c>
      <c r="E25" s="275"/>
    </row>
    <row r="26" spans="1:5">
      <c r="A26" s="275">
        <v>4.5999999999999996</v>
      </c>
      <c r="B26" s="275" t="s">
        <v>602</v>
      </c>
      <c r="C26" s="1090"/>
      <c r="D26" s="275" t="s">
        <v>635</v>
      </c>
      <c r="E26" s="275"/>
    </row>
    <row r="27" spans="1:5" ht="45">
      <c r="A27" s="281" t="s">
        <v>607</v>
      </c>
      <c r="B27" s="275" t="s">
        <v>591</v>
      </c>
      <c r="C27" s="275" t="s">
        <v>636</v>
      </c>
      <c r="D27" s="275" t="s">
        <v>661</v>
      </c>
      <c r="E27" s="275"/>
    </row>
    <row r="28" spans="1:5" ht="60">
      <c r="A28" s="281" t="s">
        <v>608</v>
      </c>
      <c r="B28" s="275" t="s">
        <v>637</v>
      </c>
      <c r="C28" s="275" t="s">
        <v>638</v>
      </c>
      <c r="D28" s="275" t="s">
        <v>639</v>
      </c>
      <c r="E28" s="275"/>
    </row>
    <row r="29" spans="1:5" ht="45">
      <c r="A29" s="281" t="s">
        <v>609</v>
      </c>
      <c r="B29" s="275" t="s">
        <v>592</v>
      </c>
      <c r="C29" s="275" t="s">
        <v>640</v>
      </c>
      <c r="D29" s="275" t="s">
        <v>641</v>
      </c>
      <c r="E29" s="275"/>
    </row>
    <row r="30" spans="1:5">
      <c r="A30" s="280" t="s">
        <v>175</v>
      </c>
      <c r="B30" s="282" t="s">
        <v>642</v>
      </c>
      <c r="C30" s="280"/>
      <c r="D30" s="280"/>
      <c r="E30" s="280"/>
    </row>
    <row r="31" spans="1:5" ht="26.25" customHeight="1">
      <c r="A31" s="283" t="s">
        <v>643</v>
      </c>
      <c r="B31" s="275" t="s">
        <v>594</v>
      </c>
      <c r="C31" s="275"/>
      <c r="D31" s="275" t="s">
        <v>644</v>
      </c>
      <c r="E31" s="275" t="s">
        <v>615</v>
      </c>
    </row>
    <row r="32" spans="1:5">
      <c r="A32" s="283" t="s">
        <v>645</v>
      </c>
      <c r="B32" s="275" t="s">
        <v>595</v>
      </c>
      <c r="C32" s="275"/>
      <c r="D32" s="275" t="s">
        <v>646</v>
      </c>
      <c r="E32" s="275" t="s">
        <v>615</v>
      </c>
    </row>
    <row r="33" spans="1:5">
      <c r="A33" s="283" t="s">
        <v>647</v>
      </c>
      <c r="B33" s="275" t="s">
        <v>596</v>
      </c>
      <c r="C33" s="275"/>
      <c r="D33" s="275" t="s">
        <v>648</v>
      </c>
      <c r="E33" s="275" t="s">
        <v>615</v>
      </c>
    </row>
    <row r="34" spans="1:5" ht="35.25" customHeight="1">
      <c r="A34" s="283" t="s">
        <v>649</v>
      </c>
      <c r="B34" s="275" t="s">
        <v>611</v>
      </c>
      <c r="C34" s="275"/>
      <c r="D34" s="275" t="s">
        <v>650</v>
      </c>
      <c r="E34" s="275" t="s">
        <v>615</v>
      </c>
    </row>
    <row r="35" spans="1:5" ht="35.25" customHeight="1">
      <c r="A35" s="283" t="s">
        <v>651</v>
      </c>
      <c r="B35" s="275" t="s">
        <v>652</v>
      </c>
      <c r="C35" s="275"/>
      <c r="D35" s="275" t="s">
        <v>660</v>
      </c>
      <c r="E35" s="275" t="s">
        <v>615</v>
      </c>
    </row>
    <row r="36" spans="1:5">
      <c r="A36" s="281" t="s">
        <v>653</v>
      </c>
      <c r="B36" s="275" t="s">
        <v>654</v>
      </c>
      <c r="C36" s="275"/>
      <c r="D36" s="275"/>
      <c r="E36" s="275"/>
    </row>
    <row r="37" spans="1:5" ht="21">
      <c r="A37" s="1083"/>
      <c r="B37" s="1083"/>
      <c r="C37" s="1083"/>
      <c r="D37" s="1083"/>
      <c r="E37" s="1083"/>
    </row>
  </sheetData>
  <mergeCells count="15">
    <mergeCell ref="A37:E37"/>
    <mergeCell ref="A1:E1"/>
    <mergeCell ref="A2:E2"/>
    <mergeCell ref="A3:E3"/>
    <mergeCell ref="A4:E4"/>
    <mergeCell ref="A5:E5"/>
    <mergeCell ref="B12:E12"/>
    <mergeCell ref="A13:E13"/>
    <mergeCell ref="A14:E14"/>
    <mergeCell ref="C21:C26"/>
    <mergeCell ref="A6:E6"/>
    <mergeCell ref="A7:E7"/>
    <mergeCell ref="A8:E8"/>
    <mergeCell ref="A9:E9"/>
    <mergeCell ref="B11:E11"/>
  </mergeCells>
  <pageMargins left="0.7" right="0.7" top="0.75" bottom="0.75" header="0.3" footer="0.3"/>
  <pageSetup paperSize="9" scale="90" orientation="landscape" horizontalDpi="300" r:id="rId1"/>
  <rowBreaks count="3" manualBreakCount="3">
    <brk id="4" max="16383" man="1"/>
    <brk id="13" max="16383" man="1"/>
    <brk id="2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31</vt:i4>
      </vt:variant>
    </vt:vector>
  </HeadingPairs>
  <TitlesOfParts>
    <vt:vector size="73" baseType="lpstr">
      <vt:lpstr>Sheet2</vt:lpstr>
      <vt:lpstr>Electricity &amp; Water</vt:lpstr>
      <vt:lpstr>Cover Page</vt:lpstr>
      <vt:lpstr>DOC Index</vt:lpstr>
      <vt:lpstr>COMPANY INTRO</vt:lpstr>
      <vt:lpstr>FFP</vt:lpstr>
      <vt:lpstr>1.Project Cost and MOF (3)</vt:lpstr>
      <vt:lpstr>Quotation</vt:lpstr>
      <vt:lpstr>Note for users</vt:lpstr>
      <vt:lpstr>Pre-Cooling</vt:lpstr>
      <vt:lpstr>Cost of Project</vt:lpstr>
      <vt:lpstr>1.Project Cost and MOF (2)</vt:lpstr>
      <vt:lpstr>1.Project Cost and MOF old</vt:lpstr>
      <vt:lpstr>2.Capex Details</vt:lpstr>
      <vt:lpstr>Sheet3</vt:lpstr>
      <vt:lpstr>3.Other Exp &amp; Taxes (2)</vt:lpstr>
      <vt:lpstr>Sheet1 </vt:lpstr>
      <vt:lpstr>4.TL repayment sch</vt:lpstr>
      <vt:lpstr>5.Closing Stock &amp; W Capital</vt:lpstr>
      <vt:lpstr>3.Other Exp &amp; Taxes (3)</vt:lpstr>
      <vt:lpstr>6.Cons Profit &amp; Loss</vt:lpstr>
      <vt:lpstr>7.Balance Sheet</vt:lpstr>
      <vt:lpstr>8.Cash Flow </vt:lpstr>
      <vt:lpstr>9. Financial indiacators</vt:lpstr>
      <vt:lpstr>10.Grain Production details</vt:lpstr>
      <vt:lpstr>Working Unit 1</vt:lpstr>
      <vt:lpstr>12.Facility 1 Dal Mill</vt:lpstr>
      <vt:lpstr>13.Facility 2 - Besan</vt:lpstr>
      <vt:lpstr>Working Unit 2</vt:lpstr>
      <vt:lpstr>Working unit 3</vt:lpstr>
      <vt:lpstr>14. Facility 3 Warehouse</vt:lpstr>
      <vt:lpstr>15. Facility 4 Custom Hiring</vt:lpstr>
      <vt:lpstr>Sheet5</vt:lpstr>
      <vt:lpstr>16.Facility 5 Agri Input</vt:lpstr>
      <vt:lpstr>ANNEXURE-H</vt:lpstr>
      <vt:lpstr>Cold Storage</vt:lpstr>
      <vt:lpstr>Ripening</vt:lpstr>
      <vt:lpstr>11.F&amp;V Crop Production details</vt:lpstr>
      <vt:lpstr>17.Facility 6 Horti Processing </vt:lpstr>
      <vt:lpstr>18. Facility 6 Cold Storage</vt:lpstr>
      <vt:lpstr>Conclusion </vt:lpstr>
      <vt:lpstr>Proposaed Value Chain</vt:lpstr>
      <vt:lpstr>FFP!_Toc71538100</vt:lpstr>
      <vt:lpstr>'1.Project Cost and MOF (2)'!Print_Area</vt:lpstr>
      <vt:lpstr>'1.Project Cost and MOF (3)'!Print_Area</vt:lpstr>
      <vt:lpstr>'1.Project Cost and MOF old'!Print_Area</vt:lpstr>
      <vt:lpstr>'10.Grain Production details'!Print_Area</vt:lpstr>
      <vt:lpstr>'11.F&amp;V Crop Production details'!Print_Area</vt:lpstr>
      <vt:lpstr>'12.Facility 1 Dal Mill'!Print_Area</vt:lpstr>
      <vt:lpstr>'13.Facility 2 - Besan'!Print_Area</vt:lpstr>
      <vt:lpstr>'14. Facility 3 Warehouse'!Print_Area</vt:lpstr>
      <vt:lpstr>'15. Facility 4 Custom Hiring'!Print_Area</vt:lpstr>
      <vt:lpstr>'16.Facility 5 Agri Input'!Print_Area</vt:lpstr>
      <vt:lpstr>'17.Facility 6 Horti Processing '!Print_Area</vt:lpstr>
      <vt:lpstr>'18. Facility 6 Cold Storage'!Print_Area</vt:lpstr>
      <vt:lpstr>'2.Capex Details'!Print_Area</vt:lpstr>
      <vt:lpstr>'3.Other Exp &amp; Taxes (2)'!Print_Area</vt:lpstr>
      <vt:lpstr>'3.Other Exp &amp; Taxes (3)'!Print_Area</vt:lpstr>
      <vt:lpstr>'5.Closing Stock &amp; W Capital'!Print_Area</vt:lpstr>
      <vt:lpstr>'6.Cons Profit &amp; Loss'!Print_Area</vt:lpstr>
      <vt:lpstr>'7.Balance Sheet'!Print_Area</vt:lpstr>
      <vt:lpstr>'8.Cash Flow '!Print_Area</vt:lpstr>
      <vt:lpstr>'9. Financial indiacators'!Print_Area</vt:lpstr>
      <vt:lpstr>'ANNEXURE-H'!Print_Area</vt:lpstr>
      <vt:lpstr>'Cold Storage'!Print_Area</vt:lpstr>
      <vt:lpstr>'COMPANY INTRO'!Print_Area</vt:lpstr>
      <vt:lpstr>'Cost of Project'!Print_Area</vt:lpstr>
      <vt:lpstr>'Cover Page'!Print_Area</vt:lpstr>
      <vt:lpstr>'DOC Index'!Print_Area</vt:lpstr>
      <vt:lpstr>'Electricity &amp; Water'!Print_Area</vt:lpstr>
      <vt:lpstr>FFP!Print_Area</vt:lpstr>
      <vt:lpstr>Quotation!Print_Area</vt:lpstr>
      <vt:lpstr>'Working Unit 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2022-10-12T07:47:35Z</dcterms:modified>
</cp:coreProperties>
</file>